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APOLLO\fin_\1FINANCIAL PLANNING AND POLICY\DCPP\DC - Estimates\. Tools\"/>
    </mc:Choice>
  </mc:AlternateContent>
  <xr:revisionPtr revIDLastSave="0" documentId="13_ncr:1_{2F90B251-9FEC-478F-BFD3-93A75E9913BD}" xr6:coauthVersionLast="45" xr6:coauthVersionMax="45" xr10:uidLastSave="{00000000-0000-0000-0000-000000000000}"/>
  <bookViews>
    <workbookView xWindow="-23550" yWindow="-180" windowWidth="14400" windowHeight="7365" tabRatio="857" firstSheet="10" activeTab="10" xr2:uid="{00000000-000D-0000-FFFF-FFFF00000000}"/>
  </bookViews>
  <sheets>
    <sheet name="GIS LAYERS" sheetId="7" state="hidden" r:id="rId1"/>
    <sheet name="brainstorming" sheetId="6" state="hidden" r:id="rId2"/>
    <sheet name="CLASSIFICATIONS" sheetId="19" state="hidden" r:id="rId3"/>
    <sheet name="REVIEW" sheetId="21" state="hidden" r:id="rId4"/>
    <sheet name="2020 Rates" sheetId="4" state="hidden" r:id="rId5"/>
    <sheet name="2018 Rates &amp; Transition" sheetId="16" state="hidden" r:id="rId6"/>
    <sheet name="Jul 6, 19 - Jul 5, 20 Proposed" sheetId="18" state="hidden" r:id="rId7"/>
    <sheet name="TRANSITION RATES" sheetId="17" state="hidden" r:id="rId8"/>
    <sheet name="Jul 6, 18 - Jul 5, 19" sheetId="13" state="hidden" r:id="rId9"/>
    <sheet name="Drop Downs" sheetId="8" state="hidden" r:id="rId10"/>
    <sheet name="Interest Calculation" sheetId="26" r:id="rId11"/>
    <sheet name="chartered_bank_interest" sheetId="24" r:id="rId12"/>
    <sheet name="LG 2014 Draft" sheetId="10" state="hidden" r:id="rId13"/>
    <sheet name="Rates" sheetId="11" state="hidden" r:id="rId14"/>
    <sheet name="Calculation Sheet (OLD)" sheetId="9" state="hidden" r:id="rId15"/>
  </sheets>
  <externalReferences>
    <externalReference r:id="rId16"/>
    <externalReference r:id="rId17"/>
    <externalReference r:id="rId18"/>
  </externalReferences>
  <definedNames>
    <definedName name="CitySelection">[2]!City[City]</definedName>
    <definedName name="Disc_Exempt" localSheetId="5">Table4[Manual Discretionary Exemptions]</definedName>
    <definedName name="Disc_Exempt" localSheetId="7">Table4[[#All],[Manual Discretionary Exemptions]]</definedName>
    <definedName name="Disc_Exempt">Table4[[#All],[Manual Discretionary Exemptions]]</definedName>
    <definedName name="Disc_List">Table4[Manual Discretionary Exemptions]</definedName>
    <definedName name="Exemption_Rates" localSheetId="5">Table4[#All]</definedName>
    <definedName name="Exemption_Rates" localSheetId="7">Table4[#All]</definedName>
    <definedName name="Exemption_Rates">Table4[#All]</definedName>
    <definedName name="Exemption_Type">Table4[[#All],[Type]]</definedName>
    <definedName name="Former_Municipality">'[3](H) Navigation'!$I$14:$I$19</definedName>
    <definedName name="Location" localSheetId="5">Table3[Location]</definedName>
    <definedName name="Location" localSheetId="14">Table3[Location]</definedName>
    <definedName name="Location" localSheetId="7">Table3[Location]</definedName>
    <definedName name="Location">Table3[Location]</definedName>
    <definedName name="Manual_Exemptions">Table4[[#All],[Manual Discretionary Exemptions]]</definedName>
    <definedName name="_xlnm.Print_Area" localSheetId="10">'Interest Calculation'!$A$1:$D$34</definedName>
    <definedName name="Stat_Exempt" localSheetId="5">Table1[Statutory Exemptions]</definedName>
    <definedName name="Stat_Exempt" localSheetId="7">Table1[Statutory Exemptions]</definedName>
    <definedName name="Stat_Exempt">Table1[Statutory Exemptions]</definedName>
    <definedName name="Type" localSheetId="5">Table2[Type]</definedName>
    <definedName name="Type" localSheetId="14">Table2[Type]</definedName>
    <definedName name="Type" localSheetId="7">Table2[Type]</definedName>
    <definedName name="Type">Table2[Type]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26" l="1"/>
  <c r="D18" i="26"/>
  <c r="C18" i="26"/>
  <c r="D24" i="26" s="1"/>
  <c r="B18" i="26"/>
  <c r="D5" i="26"/>
  <c r="D21" i="26" l="1"/>
  <c r="D22" i="26" s="1"/>
  <c r="D23" i="26" s="1"/>
  <c r="D29" i="26"/>
  <c r="D25" i="26" l="1"/>
  <c r="D30" i="26"/>
  <c r="D31" i="26" s="1"/>
  <c r="M11" i="4" l="1"/>
  <c r="N11" i="4" s="1"/>
  <c r="T41" i="4" l="1"/>
  <c r="T30" i="4"/>
  <c r="G30" i="4" l="1"/>
  <c r="F30" i="4"/>
  <c r="E30" i="4"/>
  <c r="D30" i="4"/>
  <c r="C30" i="4"/>
  <c r="S49" i="4" l="1"/>
  <c r="R49" i="4"/>
  <c r="S48" i="4"/>
  <c r="R48" i="4"/>
  <c r="S39" i="4"/>
  <c r="R38" i="4"/>
  <c r="S36" i="4"/>
  <c r="R36" i="4"/>
  <c r="S35" i="4"/>
  <c r="R35" i="4"/>
  <c r="S11" i="4"/>
  <c r="S30" i="4" s="1"/>
  <c r="R10" i="4"/>
  <c r="R30" i="4" s="1"/>
  <c r="Q41" i="4"/>
  <c r="Q11" i="4"/>
  <c r="Q30" i="4" s="1"/>
  <c r="P49" i="4"/>
  <c r="O49" i="4"/>
  <c r="P48" i="4"/>
  <c r="O48" i="4"/>
  <c r="P39" i="4"/>
  <c r="O38" i="4"/>
  <c r="P36" i="4"/>
  <c r="O36" i="4"/>
  <c r="P35" i="4"/>
  <c r="O35" i="4"/>
  <c r="P11" i="4"/>
  <c r="P30" i="4" s="1"/>
  <c r="O10" i="4"/>
  <c r="O30" i="4" s="1"/>
  <c r="S41" i="4" l="1"/>
  <c r="S44" i="4" s="1"/>
  <c r="S51" i="4" s="1"/>
  <c r="S56" i="4" s="1"/>
  <c r="O40" i="4"/>
  <c r="P41" i="4"/>
  <c r="R40" i="4"/>
  <c r="R43" i="4" s="1"/>
  <c r="R50" i="4" s="1"/>
  <c r="R55" i="4" s="1"/>
  <c r="O43" i="4"/>
  <c r="O50" i="4" s="1"/>
  <c r="O55" i="4" s="1"/>
  <c r="P44" i="4"/>
  <c r="P51" i="4" s="1"/>
  <c r="P56" i="4" s="1"/>
  <c r="H41" i="4"/>
  <c r="H40" i="4"/>
  <c r="G41" i="4"/>
  <c r="G44" i="4" s="1"/>
  <c r="G51" i="4" s="1"/>
  <c r="G56" i="4" s="1"/>
  <c r="F41" i="4"/>
  <c r="F44" i="4" s="1"/>
  <c r="F51" i="4" s="1"/>
  <c r="F56" i="4" s="1"/>
  <c r="E41" i="4"/>
  <c r="E44" i="4" s="1"/>
  <c r="E51" i="4" s="1"/>
  <c r="E56" i="4" s="1"/>
  <c r="D41" i="4"/>
  <c r="D44" i="4" s="1"/>
  <c r="D51" i="4" s="1"/>
  <c r="D56" i="4" s="1"/>
  <c r="G40" i="4"/>
  <c r="G43" i="4" s="1"/>
  <c r="G50" i="4" s="1"/>
  <c r="G55" i="4" s="1"/>
  <c r="F40" i="4"/>
  <c r="F43" i="4" s="1"/>
  <c r="F50" i="4" s="1"/>
  <c r="F55" i="4" s="1"/>
  <c r="E40" i="4"/>
  <c r="E43" i="4" s="1"/>
  <c r="E50" i="4" s="1"/>
  <c r="E55" i="4" s="1"/>
  <c r="D40" i="4"/>
  <c r="D43" i="4" s="1"/>
  <c r="D50" i="4" s="1"/>
  <c r="D55" i="4" s="1"/>
  <c r="C41" i="4"/>
  <c r="C44" i="4" s="1"/>
  <c r="C51" i="4" s="1"/>
  <c r="C56" i="4" s="1"/>
  <c r="C40" i="4"/>
  <c r="C43" i="4" s="1"/>
  <c r="C50" i="4" s="1"/>
  <c r="C55" i="4" s="1"/>
  <c r="H30" i="4"/>
  <c r="Z42" i="8"/>
  <c r="Z41" i="8"/>
  <c r="Z40" i="8"/>
  <c r="Z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 i="8"/>
  <c r="R4" i="8"/>
  <c r="R3" i="8"/>
  <c r="R2" i="8"/>
  <c r="R42" i="8"/>
  <c r="R41" i="8"/>
  <c r="R40" i="8"/>
  <c r="R39" i="8"/>
  <c r="H44" i="4" l="1"/>
  <c r="H51" i="4" s="1"/>
  <c r="H56" i="4" s="1"/>
  <c r="H43" i="4"/>
  <c r="H50" i="4" s="1"/>
  <c r="H55" i="4" s="1"/>
  <c r="N49" i="4" l="1"/>
  <c r="M49" i="4"/>
  <c r="N48" i="4"/>
  <c r="M48" i="4"/>
  <c r="N38" i="4"/>
  <c r="M38" i="4"/>
  <c r="N32" i="4"/>
  <c r="M32" i="4"/>
  <c r="N10" i="4"/>
  <c r="N31" i="4" s="1"/>
  <c r="M10" i="4"/>
  <c r="M31" i="4" s="1"/>
  <c r="L54" i="4"/>
  <c r="K54" i="4"/>
  <c r="J54" i="4"/>
  <c r="I54" i="4"/>
  <c r="Z25" i="8" s="1"/>
  <c r="L49" i="4"/>
  <c r="Y42" i="8" s="1"/>
  <c r="K49" i="4"/>
  <c r="Y41" i="8" s="1"/>
  <c r="J49" i="4"/>
  <c r="Y40" i="8" s="1"/>
  <c r="I49" i="4"/>
  <c r="L48" i="4"/>
  <c r="X42" i="8" s="1"/>
  <c r="K48" i="4"/>
  <c r="X41" i="8" s="1"/>
  <c r="J48" i="4"/>
  <c r="X40" i="8" s="1"/>
  <c r="I48" i="4"/>
  <c r="X39" i="8" s="1"/>
  <c r="L47" i="4"/>
  <c r="W42" i="8" s="1"/>
  <c r="K47" i="4"/>
  <c r="W41" i="8" s="1"/>
  <c r="J47" i="4"/>
  <c r="W40" i="8" s="1"/>
  <c r="I47" i="4"/>
  <c r="L39" i="4"/>
  <c r="K39" i="4"/>
  <c r="J39" i="4"/>
  <c r="I39" i="4"/>
  <c r="L36" i="4"/>
  <c r="K36" i="4"/>
  <c r="J36" i="4"/>
  <c r="I36" i="4"/>
  <c r="L35" i="4"/>
  <c r="M35" i="4" s="1"/>
  <c r="K35" i="4"/>
  <c r="J35" i="4"/>
  <c r="I35" i="4"/>
  <c r="L34" i="4"/>
  <c r="K34" i="4"/>
  <c r="J34" i="4"/>
  <c r="I34" i="4"/>
  <c r="L29" i="4"/>
  <c r="K29" i="4"/>
  <c r="J29" i="4"/>
  <c r="I29" i="4"/>
  <c r="L28" i="4"/>
  <c r="K28" i="4"/>
  <c r="J28" i="4"/>
  <c r="I28" i="4"/>
  <c r="L27" i="4"/>
  <c r="K27" i="4"/>
  <c r="J27" i="4"/>
  <c r="I27" i="4"/>
  <c r="L26" i="4"/>
  <c r="K26" i="4"/>
  <c r="J26" i="4"/>
  <c r="I26" i="4"/>
  <c r="L25" i="4"/>
  <c r="K25" i="4"/>
  <c r="J25" i="4"/>
  <c r="I25" i="4"/>
  <c r="L24" i="4"/>
  <c r="K24" i="4"/>
  <c r="J24" i="4"/>
  <c r="I24" i="4"/>
  <c r="L23" i="4"/>
  <c r="K23" i="4"/>
  <c r="J23" i="4"/>
  <c r="I23" i="4"/>
  <c r="L22" i="4"/>
  <c r="K22" i="4"/>
  <c r="J22" i="4"/>
  <c r="I22" i="4"/>
  <c r="L21" i="4"/>
  <c r="K21" i="4"/>
  <c r="J21" i="4"/>
  <c r="I21" i="4"/>
  <c r="L20" i="4"/>
  <c r="K20" i="4"/>
  <c r="J20" i="4"/>
  <c r="I20" i="4"/>
  <c r="L19" i="4"/>
  <c r="K19" i="4"/>
  <c r="J19" i="4"/>
  <c r="I19" i="4"/>
  <c r="L18" i="4"/>
  <c r="K18" i="4"/>
  <c r="J18" i="4"/>
  <c r="I18" i="4"/>
  <c r="L17" i="4"/>
  <c r="K17" i="4"/>
  <c r="J17" i="4"/>
  <c r="I17" i="4"/>
  <c r="L16" i="4"/>
  <c r="K16" i="4"/>
  <c r="J16" i="4"/>
  <c r="I16" i="4"/>
  <c r="L15" i="4"/>
  <c r="K15" i="4"/>
  <c r="J15" i="4"/>
  <c r="I15" i="4"/>
  <c r="L14" i="4"/>
  <c r="K14" i="4"/>
  <c r="J14" i="4"/>
  <c r="I14" i="4"/>
  <c r="L13" i="4"/>
  <c r="K13" i="4"/>
  <c r="J13" i="4"/>
  <c r="I13" i="4"/>
  <c r="L12" i="4"/>
  <c r="K12" i="4"/>
  <c r="J12" i="4"/>
  <c r="I12" i="4"/>
  <c r="I9" i="4"/>
  <c r="J9" i="4"/>
  <c r="L9" i="4"/>
  <c r="K9" i="4"/>
  <c r="N39" i="8"/>
  <c r="N40" i="8"/>
  <c r="N41" i="8"/>
  <c r="N42" i="8"/>
  <c r="N43" i="8"/>
  <c r="N44" i="8"/>
  <c r="N45" i="8"/>
  <c r="N46" i="8"/>
  <c r="N47" i="8"/>
  <c r="Z32" i="8"/>
  <c r="Y32" i="8"/>
  <c r="X32" i="8"/>
  <c r="W32" i="8"/>
  <c r="Z31" i="8"/>
  <c r="Y31" i="8"/>
  <c r="X31" i="8"/>
  <c r="W31" i="8"/>
  <c r="Z28" i="8"/>
  <c r="Y28" i="8"/>
  <c r="X28" i="8"/>
  <c r="W28" i="8"/>
  <c r="Z27" i="8"/>
  <c r="Y27" i="8"/>
  <c r="X27" i="8"/>
  <c r="W27" i="8"/>
  <c r="Z26" i="8"/>
  <c r="W26" i="8"/>
  <c r="Z10" i="8"/>
  <c r="Y10" i="8"/>
  <c r="W10" i="8"/>
  <c r="Z9" i="8"/>
  <c r="Y9" i="8"/>
  <c r="X9" i="8"/>
  <c r="W9" i="8"/>
  <c r="Z8" i="8"/>
  <c r="W8" i="8"/>
  <c r="Z7" i="8"/>
  <c r="W7" i="8"/>
  <c r="N35" i="4" l="1"/>
  <c r="J40" i="4"/>
  <c r="K40" i="4"/>
  <c r="L30" i="4"/>
  <c r="I30" i="4"/>
  <c r="X10" i="8"/>
  <c r="I40" i="4"/>
  <c r="L40" i="4"/>
  <c r="X8" i="8"/>
  <c r="X26" i="8"/>
  <c r="J30" i="4"/>
  <c r="V40" i="8" s="1"/>
  <c r="K41" i="4"/>
  <c r="J41" i="4"/>
  <c r="Y8" i="8"/>
  <c r="Y26" i="8"/>
  <c r="N36" i="4"/>
  <c r="N40" i="4" s="1"/>
  <c r="M36" i="4"/>
  <c r="M40" i="4" s="1"/>
  <c r="N39" i="4"/>
  <c r="L41" i="4"/>
  <c r="M39" i="4"/>
  <c r="K30" i="4"/>
  <c r="I41" i="4"/>
  <c r="W25" i="8"/>
  <c r="W39" i="8"/>
  <c r="Y7" i="8"/>
  <c r="Y39" i="8"/>
  <c r="Y25" i="8"/>
  <c r="X7" i="8"/>
  <c r="X25" i="8"/>
  <c r="N43" i="4" l="1"/>
  <c r="N50" i="4" s="1"/>
  <c r="N55" i="4" s="1"/>
  <c r="M43" i="4"/>
  <c r="M50" i="4" s="1"/>
  <c r="M55" i="4" s="1"/>
  <c r="N41" i="4"/>
  <c r="I43" i="4"/>
  <c r="I50" i="4" s="1"/>
  <c r="I55" i="4" s="1"/>
  <c r="L44" i="4"/>
  <c r="L51" i="4" s="1"/>
  <c r="L56" i="4" s="1"/>
  <c r="I44" i="4"/>
  <c r="I51" i="4" s="1"/>
  <c r="I56" i="4" s="1"/>
  <c r="V39" i="8"/>
  <c r="L43" i="4"/>
  <c r="L50" i="4" s="1"/>
  <c r="L55" i="4" s="1"/>
  <c r="V42" i="8"/>
  <c r="J44" i="4"/>
  <c r="J51" i="4" s="1"/>
  <c r="J56" i="4" s="1"/>
  <c r="J43" i="4"/>
  <c r="J50" i="4" s="1"/>
  <c r="J55" i="4" s="1"/>
  <c r="M41" i="4"/>
  <c r="M44" i="4" s="1"/>
  <c r="K44" i="4"/>
  <c r="K51" i="4" s="1"/>
  <c r="K56" i="4" s="1"/>
  <c r="K43" i="4"/>
  <c r="K50" i="4" s="1"/>
  <c r="K55" i="4" s="1"/>
  <c r="V41" i="8"/>
  <c r="N44" i="4" l="1"/>
  <c r="N51" i="4" s="1"/>
  <c r="N56" i="4" s="1"/>
  <c r="M51" i="4"/>
  <c r="M56" i="4" s="1"/>
  <c r="H11" i="18"/>
  <c r="Z38" i="8"/>
  <c r="Y38" i="8"/>
  <c r="X38" i="8"/>
  <c r="W38" i="8"/>
  <c r="Z37" i="8"/>
  <c r="Y37" i="8"/>
  <c r="X37" i="8"/>
  <c r="W37" i="8"/>
  <c r="Z36" i="8"/>
  <c r="Y36" i="8"/>
  <c r="X36" i="8"/>
  <c r="W36" i="8"/>
  <c r="Z35" i="8"/>
  <c r="Y35" i="8"/>
  <c r="X35" i="8"/>
  <c r="W35" i="8"/>
  <c r="Z34" i="8"/>
  <c r="Y34" i="8"/>
  <c r="X34" i="8"/>
  <c r="W34" i="8"/>
  <c r="Z6" i="8"/>
  <c r="Y6" i="8"/>
  <c r="X6" i="8"/>
  <c r="W6" i="8"/>
  <c r="Z5" i="8"/>
  <c r="Y5" i="8"/>
  <c r="X5" i="8"/>
  <c r="W5" i="8"/>
  <c r="Z4" i="8"/>
  <c r="Y4" i="8"/>
  <c r="X4" i="8"/>
  <c r="W4" i="8"/>
  <c r="Z3" i="8"/>
  <c r="Y3" i="8"/>
  <c r="X3" i="8"/>
  <c r="W3" i="8"/>
  <c r="Z2" i="8"/>
  <c r="Y2" i="8"/>
  <c r="X2" i="8"/>
  <c r="W2" i="8"/>
  <c r="Z30" i="8"/>
  <c r="Y30" i="8"/>
  <c r="X30" i="8"/>
  <c r="W30" i="8"/>
  <c r="Z29" i="8"/>
  <c r="Y29" i="8"/>
  <c r="X29" i="8"/>
  <c r="W29" i="8"/>
  <c r="Z24" i="8"/>
  <c r="Y24" i="8"/>
  <c r="X24" i="8"/>
  <c r="W24" i="8"/>
  <c r="Z23" i="8"/>
  <c r="Y23" i="8"/>
  <c r="X23" i="8"/>
  <c r="W23" i="8"/>
  <c r="Z22" i="8"/>
  <c r="Y22" i="8"/>
  <c r="X22" i="8"/>
  <c r="W22" i="8"/>
  <c r="Z21" i="8"/>
  <c r="Y21" i="8"/>
  <c r="X21" i="8"/>
  <c r="W21" i="8"/>
  <c r="Z20" i="8"/>
  <c r="Y20" i="8"/>
  <c r="X20" i="8"/>
  <c r="W20" i="8"/>
  <c r="V7" i="8" l="1"/>
  <c r="V25" i="8"/>
  <c r="V26" i="8"/>
  <c r="V8" i="8"/>
  <c r="V32" i="8"/>
  <c r="V28" i="8"/>
  <c r="V10" i="8"/>
  <c r="V9" i="8"/>
  <c r="V31" i="8"/>
  <c r="V27" i="8"/>
  <c r="J54" i="18" l="1"/>
  <c r="J48" i="18"/>
  <c r="J47" i="18"/>
  <c r="J46" i="18"/>
  <c r="I41" i="18"/>
  <c r="H41" i="18"/>
  <c r="H43" i="18" s="1"/>
  <c r="H51" i="18" s="1"/>
  <c r="H56" i="18" s="1"/>
  <c r="G41" i="18"/>
  <c r="F41" i="18"/>
  <c r="E41" i="18"/>
  <c r="D41" i="18"/>
  <c r="C41" i="18"/>
  <c r="I40" i="18"/>
  <c r="H40" i="18"/>
  <c r="H42" i="18" s="1"/>
  <c r="H50" i="18" s="1"/>
  <c r="H55" i="18" s="1"/>
  <c r="G40" i="18"/>
  <c r="F40" i="18"/>
  <c r="E40" i="18"/>
  <c r="D40" i="18"/>
  <c r="C40" i="18"/>
  <c r="R38" i="18"/>
  <c r="P38" i="18"/>
  <c r="O38" i="18"/>
  <c r="N38" i="18"/>
  <c r="M38" i="18"/>
  <c r="K38" i="18"/>
  <c r="J38" i="18"/>
  <c r="R37" i="18"/>
  <c r="P37" i="18"/>
  <c r="O37" i="18"/>
  <c r="N37" i="18"/>
  <c r="M37" i="18"/>
  <c r="K37" i="18"/>
  <c r="J37" i="18"/>
  <c r="R35" i="18"/>
  <c r="P35" i="18"/>
  <c r="O35" i="18"/>
  <c r="N35" i="18"/>
  <c r="M35" i="18"/>
  <c r="K35" i="18"/>
  <c r="J35" i="18"/>
  <c r="R34" i="18"/>
  <c r="P34" i="18"/>
  <c r="O34" i="18"/>
  <c r="N34" i="18"/>
  <c r="M34" i="18"/>
  <c r="K34" i="18"/>
  <c r="J34" i="18"/>
  <c r="R33" i="18"/>
  <c r="P33" i="18"/>
  <c r="O33" i="18"/>
  <c r="N33" i="18"/>
  <c r="J33" i="18"/>
  <c r="I30" i="18"/>
  <c r="I43" i="18" s="1"/>
  <c r="G30" i="18"/>
  <c r="F30" i="18"/>
  <c r="F43" i="18" s="1"/>
  <c r="F51" i="18" s="1"/>
  <c r="F56" i="18" s="1"/>
  <c r="E30" i="18"/>
  <c r="D30" i="18"/>
  <c r="C30" i="18"/>
  <c r="R29" i="18"/>
  <c r="P29" i="18"/>
  <c r="O29" i="18"/>
  <c r="N29" i="18"/>
  <c r="J29" i="18"/>
  <c r="R28" i="18"/>
  <c r="P28" i="18"/>
  <c r="O28" i="18"/>
  <c r="N28" i="18"/>
  <c r="J28" i="18"/>
  <c r="R27" i="18"/>
  <c r="P27" i="18"/>
  <c r="O27" i="18"/>
  <c r="N27" i="18"/>
  <c r="J27" i="18"/>
  <c r="R26" i="18"/>
  <c r="P26" i="18"/>
  <c r="O26" i="18"/>
  <c r="N26" i="18"/>
  <c r="J26" i="18"/>
  <c r="R25" i="18"/>
  <c r="P25" i="18"/>
  <c r="O25" i="18"/>
  <c r="N25" i="18"/>
  <c r="J25" i="18"/>
  <c r="R24" i="18"/>
  <c r="P24" i="18"/>
  <c r="O24" i="18"/>
  <c r="N24" i="18"/>
  <c r="J24" i="18"/>
  <c r="R23" i="18"/>
  <c r="P23" i="18"/>
  <c r="O23" i="18"/>
  <c r="N23" i="18"/>
  <c r="J23" i="18"/>
  <c r="R22" i="18"/>
  <c r="P22" i="18"/>
  <c r="O22" i="18"/>
  <c r="N22" i="18"/>
  <c r="J22" i="18"/>
  <c r="R21" i="18"/>
  <c r="P21" i="18"/>
  <c r="O21" i="18"/>
  <c r="N21" i="18"/>
  <c r="J21" i="18"/>
  <c r="R20" i="18"/>
  <c r="P20" i="18"/>
  <c r="O20" i="18"/>
  <c r="N20" i="18"/>
  <c r="J20" i="18"/>
  <c r="R19" i="18"/>
  <c r="P19" i="18"/>
  <c r="O19" i="18"/>
  <c r="N19" i="18"/>
  <c r="J19" i="18"/>
  <c r="R18" i="18"/>
  <c r="P18" i="18"/>
  <c r="O18" i="18"/>
  <c r="N18" i="18"/>
  <c r="J18" i="18"/>
  <c r="R17" i="18"/>
  <c r="P17" i="18"/>
  <c r="O17" i="18"/>
  <c r="N17" i="18"/>
  <c r="J17" i="18"/>
  <c r="R16" i="18"/>
  <c r="P16" i="18"/>
  <c r="O16" i="18"/>
  <c r="N16" i="18"/>
  <c r="J16" i="18"/>
  <c r="R15" i="18"/>
  <c r="P15" i="18"/>
  <c r="O15" i="18"/>
  <c r="N15" i="18"/>
  <c r="J15" i="18"/>
  <c r="R14" i="18"/>
  <c r="P14" i="18"/>
  <c r="O14" i="18"/>
  <c r="N14" i="18"/>
  <c r="J14" i="18"/>
  <c r="R13" i="18"/>
  <c r="P13" i="18"/>
  <c r="O13" i="18"/>
  <c r="N13" i="18"/>
  <c r="J13" i="18"/>
  <c r="R12" i="18"/>
  <c r="P12" i="18"/>
  <c r="O12" i="18"/>
  <c r="N12" i="18"/>
  <c r="J12" i="18"/>
  <c r="H10" i="18"/>
  <c r="R9" i="18"/>
  <c r="P9" i="18"/>
  <c r="O9" i="18"/>
  <c r="N9" i="18"/>
  <c r="J9" i="18"/>
  <c r="M8" i="18"/>
  <c r="G43" i="18" l="1"/>
  <c r="G51" i="18" s="1"/>
  <c r="G56" i="18" s="1"/>
  <c r="J30" i="18"/>
  <c r="C43" i="18"/>
  <c r="C51" i="18" s="1"/>
  <c r="C56" i="18" s="1"/>
  <c r="P40" i="18"/>
  <c r="J41" i="18"/>
  <c r="J43" i="18" s="1"/>
  <c r="J51" i="18" s="1"/>
  <c r="J56" i="18" s="1"/>
  <c r="J40" i="18"/>
  <c r="J42" i="18" s="1"/>
  <c r="J50" i="18" s="1"/>
  <c r="J55" i="18" s="1"/>
  <c r="K41" i="18"/>
  <c r="K11" i="18" s="1"/>
  <c r="N40" i="18"/>
  <c r="P30" i="18"/>
  <c r="D43" i="18"/>
  <c r="D51" i="18" s="1"/>
  <c r="D56" i="18" s="1"/>
  <c r="M40" i="18"/>
  <c r="O40" i="18"/>
  <c r="O30" i="18"/>
  <c r="R30" i="18"/>
  <c r="R50" i="18" s="1"/>
  <c r="E42" i="18"/>
  <c r="E50" i="18" s="1"/>
  <c r="E55" i="18" s="1"/>
  <c r="R41" i="18"/>
  <c r="R51" i="18" s="1"/>
  <c r="K40" i="18"/>
  <c r="M41" i="18"/>
  <c r="R40" i="18"/>
  <c r="O41" i="18"/>
  <c r="P41" i="18"/>
  <c r="N30" i="18"/>
  <c r="N41" i="18"/>
  <c r="I51" i="18"/>
  <c r="I56" i="18" s="1"/>
  <c r="C42" i="18"/>
  <c r="C50" i="18" s="1"/>
  <c r="C55" i="18" s="1"/>
  <c r="D42" i="18"/>
  <c r="D50" i="18" s="1"/>
  <c r="D55" i="18" s="1"/>
  <c r="F42" i="18"/>
  <c r="F50" i="18" s="1"/>
  <c r="F55" i="18" s="1"/>
  <c r="G42" i="18"/>
  <c r="G50" i="18" s="1"/>
  <c r="G55" i="18" s="1"/>
  <c r="E43" i="18"/>
  <c r="E51" i="18" s="1"/>
  <c r="E56" i="18" s="1"/>
  <c r="I42" i="18"/>
  <c r="H9" i="17"/>
  <c r="Q34" i="17"/>
  <c r="O34" i="17"/>
  <c r="N34" i="17"/>
  <c r="M34" i="17"/>
  <c r="L34" i="17"/>
  <c r="P51" i="18" l="1"/>
  <c r="N51" i="18"/>
  <c r="P50" i="18"/>
  <c r="N50" i="18"/>
  <c r="O51" i="18"/>
  <c r="O50" i="18"/>
  <c r="I50" i="18"/>
  <c r="I55" i="18" s="1"/>
  <c r="K10" i="18"/>
  <c r="K51" i="18"/>
  <c r="M11" i="18"/>
  <c r="M51" i="18" s="1"/>
  <c r="Q40" i="17"/>
  <c r="O40" i="17"/>
  <c r="N40" i="17"/>
  <c r="M40" i="17"/>
  <c r="L40" i="17"/>
  <c r="J40" i="17"/>
  <c r="Q39" i="17"/>
  <c r="O39" i="17"/>
  <c r="N39" i="17"/>
  <c r="M39" i="17"/>
  <c r="L39" i="17"/>
  <c r="J39" i="17"/>
  <c r="Q38" i="17"/>
  <c r="O38" i="17"/>
  <c r="N38" i="17"/>
  <c r="M38" i="17"/>
  <c r="L38" i="17"/>
  <c r="J38" i="17"/>
  <c r="Q37" i="17"/>
  <c r="O37" i="17"/>
  <c r="N37" i="17"/>
  <c r="M37" i="17"/>
  <c r="P36" i="17"/>
  <c r="K36" i="17"/>
  <c r="I36" i="17"/>
  <c r="G36" i="17"/>
  <c r="F36" i="17"/>
  <c r="E36" i="17"/>
  <c r="D36" i="17"/>
  <c r="C36" i="17"/>
  <c r="J34" i="17"/>
  <c r="Q33" i="17"/>
  <c r="O33" i="17"/>
  <c r="N33" i="17"/>
  <c r="M33" i="17"/>
  <c r="L33" i="17"/>
  <c r="J33" i="17"/>
  <c r="Q32" i="17"/>
  <c r="O32" i="17"/>
  <c r="N32" i="17"/>
  <c r="M32" i="17"/>
  <c r="L32" i="17"/>
  <c r="J32" i="17"/>
  <c r="Q31" i="17"/>
  <c r="O31" i="17"/>
  <c r="N31" i="17"/>
  <c r="M31" i="17"/>
  <c r="P30" i="17"/>
  <c r="K30" i="17"/>
  <c r="I30" i="17"/>
  <c r="G30" i="17"/>
  <c r="F30" i="17"/>
  <c r="E30" i="17"/>
  <c r="D30" i="17"/>
  <c r="C30" i="17"/>
  <c r="Q28" i="17"/>
  <c r="O28" i="17"/>
  <c r="N28" i="17"/>
  <c r="M28" i="17"/>
  <c r="Q27" i="17"/>
  <c r="O27" i="17"/>
  <c r="N27" i="17"/>
  <c r="M27" i="17"/>
  <c r="Q26" i="17"/>
  <c r="O26" i="17"/>
  <c r="N26" i="17"/>
  <c r="M26" i="17"/>
  <c r="Q25" i="17"/>
  <c r="O25" i="17"/>
  <c r="N25" i="17"/>
  <c r="M25" i="17"/>
  <c r="Q24" i="17"/>
  <c r="O24" i="17"/>
  <c r="N24" i="17"/>
  <c r="M24" i="17"/>
  <c r="Q23" i="17"/>
  <c r="O23" i="17"/>
  <c r="N23" i="17"/>
  <c r="M23" i="17"/>
  <c r="Q22" i="17"/>
  <c r="O22" i="17"/>
  <c r="N22" i="17"/>
  <c r="M22" i="17"/>
  <c r="Q21" i="17"/>
  <c r="O21" i="17"/>
  <c r="N21" i="17"/>
  <c r="M21" i="17"/>
  <c r="Q20" i="17"/>
  <c r="O20" i="17"/>
  <c r="N20" i="17"/>
  <c r="M20" i="17"/>
  <c r="Q19" i="17"/>
  <c r="O19" i="17"/>
  <c r="N19" i="17"/>
  <c r="M19" i="17"/>
  <c r="Q18" i="17"/>
  <c r="O18" i="17"/>
  <c r="N18" i="17"/>
  <c r="M18" i="17"/>
  <c r="Q17" i="17"/>
  <c r="O17" i="17"/>
  <c r="N17" i="17"/>
  <c r="M17" i="17"/>
  <c r="Q16" i="17"/>
  <c r="O16" i="17"/>
  <c r="N16" i="17"/>
  <c r="M16" i="17"/>
  <c r="Q15" i="17"/>
  <c r="O15" i="17"/>
  <c r="N15" i="17"/>
  <c r="M15" i="17"/>
  <c r="Q14" i="17"/>
  <c r="O14" i="17"/>
  <c r="N14" i="17"/>
  <c r="M14" i="17"/>
  <c r="Q13" i="17"/>
  <c r="O13" i="17"/>
  <c r="N13" i="17"/>
  <c r="M13" i="17"/>
  <c r="Q12" i="17"/>
  <c r="O12" i="17"/>
  <c r="N12" i="17"/>
  <c r="M12" i="17"/>
  <c r="Q9" i="17"/>
  <c r="O9" i="17"/>
  <c r="N9" i="17"/>
  <c r="M9" i="17"/>
  <c r="P8" i="17"/>
  <c r="L8" i="17"/>
  <c r="K8" i="17"/>
  <c r="I8" i="17"/>
  <c r="H8" i="17"/>
  <c r="H49" i="17" s="1"/>
  <c r="G8" i="17"/>
  <c r="G50" i="17" s="1"/>
  <c r="F8" i="17"/>
  <c r="E8" i="17"/>
  <c r="D8" i="17"/>
  <c r="C8" i="17"/>
  <c r="Q41" i="16"/>
  <c r="O41" i="16"/>
  <c r="N41" i="16"/>
  <c r="M41" i="16"/>
  <c r="L41" i="16"/>
  <c r="J41" i="16"/>
  <c r="Q40" i="16"/>
  <c r="O40" i="16"/>
  <c r="N40" i="16"/>
  <c r="M40" i="16"/>
  <c r="L40" i="16"/>
  <c r="J40" i="16"/>
  <c r="Q39" i="16"/>
  <c r="O39" i="16"/>
  <c r="N39" i="16"/>
  <c r="M39" i="16"/>
  <c r="L39" i="16"/>
  <c r="J39" i="16"/>
  <c r="Q38" i="16"/>
  <c r="O38" i="16"/>
  <c r="N38" i="16"/>
  <c r="M38" i="16"/>
  <c r="P37" i="16"/>
  <c r="K37" i="16"/>
  <c r="I37" i="16"/>
  <c r="G37" i="16"/>
  <c r="F37" i="16"/>
  <c r="E37" i="16"/>
  <c r="D37" i="16"/>
  <c r="C37" i="16"/>
  <c r="Q35" i="16"/>
  <c r="O35" i="16"/>
  <c r="N35" i="16"/>
  <c r="M35" i="16"/>
  <c r="L35" i="16"/>
  <c r="L31" i="16" s="1"/>
  <c r="J35" i="16"/>
  <c r="Q34" i="16"/>
  <c r="O34" i="16"/>
  <c r="N34" i="16"/>
  <c r="M34" i="16"/>
  <c r="L34" i="16"/>
  <c r="J34" i="16"/>
  <c r="Q33" i="16"/>
  <c r="O33" i="16"/>
  <c r="N33" i="16"/>
  <c r="M33" i="16"/>
  <c r="L33" i="16"/>
  <c r="J33" i="16"/>
  <c r="Q32" i="16"/>
  <c r="O32" i="16"/>
  <c r="N32" i="16"/>
  <c r="M32" i="16"/>
  <c r="P31" i="16"/>
  <c r="K31" i="16"/>
  <c r="I31" i="16"/>
  <c r="G31" i="16"/>
  <c r="F31" i="16"/>
  <c r="E31" i="16"/>
  <c r="D31" i="16"/>
  <c r="C31" i="16"/>
  <c r="Q29" i="16"/>
  <c r="O29" i="16"/>
  <c r="N29" i="16"/>
  <c r="M29" i="16"/>
  <c r="Q28" i="16"/>
  <c r="O28" i="16"/>
  <c r="N28" i="16"/>
  <c r="M28" i="16"/>
  <c r="Q27" i="16"/>
  <c r="O27" i="16"/>
  <c r="N27" i="16"/>
  <c r="M27" i="16"/>
  <c r="Q26" i="16"/>
  <c r="O26" i="16"/>
  <c r="N26" i="16"/>
  <c r="M26" i="16"/>
  <c r="Q25" i="16"/>
  <c r="O25" i="16"/>
  <c r="N25" i="16"/>
  <c r="M25" i="16"/>
  <c r="Q24" i="16"/>
  <c r="O24" i="16"/>
  <c r="N24" i="16"/>
  <c r="M24" i="16"/>
  <c r="Q23" i="16"/>
  <c r="O23" i="16"/>
  <c r="N23" i="16"/>
  <c r="M23" i="16"/>
  <c r="Q22" i="16"/>
  <c r="O22" i="16"/>
  <c r="N22" i="16"/>
  <c r="M22" i="16"/>
  <c r="Q21" i="16"/>
  <c r="O21" i="16"/>
  <c r="N21" i="16"/>
  <c r="M21" i="16"/>
  <c r="Q20" i="16"/>
  <c r="O20" i="16"/>
  <c r="N20" i="16"/>
  <c r="M20" i="16"/>
  <c r="Q19" i="16"/>
  <c r="O19" i="16"/>
  <c r="N19" i="16"/>
  <c r="M19" i="16"/>
  <c r="Q18" i="16"/>
  <c r="O18" i="16"/>
  <c r="N18" i="16"/>
  <c r="M18" i="16"/>
  <c r="Q17" i="16"/>
  <c r="O17" i="16"/>
  <c r="N17" i="16"/>
  <c r="M17" i="16"/>
  <c r="Q16" i="16"/>
  <c r="O16" i="16"/>
  <c r="N16" i="16"/>
  <c r="M16" i="16"/>
  <c r="Q15" i="16"/>
  <c r="O15" i="16"/>
  <c r="N15" i="16"/>
  <c r="M15" i="16"/>
  <c r="Q14" i="16"/>
  <c r="O14" i="16"/>
  <c r="N14" i="16"/>
  <c r="M14" i="16"/>
  <c r="Q13" i="16"/>
  <c r="O13" i="16"/>
  <c r="N13" i="16"/>
  <c r="M13" i="16"/>
  <c r="Q12" i="16"/>
  <c r="O12" i="16"/>
  <c r="N12" i="16"/>
  <c r="M12" i="16"/>
  <c r="Q9" i="16"/>
  <c r="O9" i="16"/>
  <c r="N9" i="16"/>
  <c r="M9" i="16"/>
  <c r="H9" i="16"/>
  <c r="H8" i="16" s="1"/>
  <c r="H50" i="16" s="1"/>
  <c r="P8" i="16"/>
  <c r="L8" i="16"/>
  <c r="K8" i="16"/>
  <c r="K50" i="16" s="1"/>
  <c r="I8" i="16"/>
  <c r="I51" i="16" s="1"/>
  <c r="G8" i="16"/>
  <c r="G50" i="16" s="1"/>
  <c r="F8" i="16"/>
  <c r="F50" i="16" s="1"/>
  <c r="E8" i="16"/>
  <c r="D8" i="16"/>
  <c r="C8" i="16"/>
  <c r="E50" i="16" l="1"/>
  <c r="K49" i="17"/>
  <c r="O37" i="16"/>
  <c r="C51" i="16"/>
  <c r="P50" i="16"/>
  <c r="Q31" i="16"/>
  <c r="L37" i="16"/>
  <c r="Q8" i="16"/>
  <c r="Q50" i="16" s="1"/>
  <c r="J31" i="16"/>
  <c r="C49" i="17"/>
  <c r="M31" i="16"/>
  <c r="O31" i="16"/>
  <c r="N37" i="16"/>
  <c r="M8" i="16"/>
  <c r="M50" i="16" s="1"/>
  <c r="J37" i="16"/>
  <c r="J11" i="16" s="1"/>
  <c r="J30" i="17"/>
  <c r="L36" i="17"/>
  <c r="N8" i="16"/>
  <c r="D50" i="16"/>
  <c r="I50" i="16"/>
  <c r="O8" i="16"/>
  <c r="O50" i="16" s="1"/>
  <c r="N31" i="16"/>
  <c r="D51" i="16"/>
  <c r="Q37" i="16"/>
  <c r="Q51" i="16" s="1"/>
  <c r="F49" i="17"/>
  <c r="J36" i="17"/>
  <c r="M36" i="17"/>
  <c r="C50" i="16"/>
  <c r="M37" i="16"/>
  <c r="M10" i="18"/>
  <c r="M50" i="18" s="1"/>
  <c r="K50" i="18"/>
  <c r="L30" i="17"/>
  <c r="N36" i="17"/>
  <c r="E49" i="17"/>
  <c r="M30" i="17"/>
  <c r="O30" i="17"/>
  <c r="N30" i="17"/>
  <c r="Q36" i="17"/>
  <c r="O36" i="17"/>
  <c r="I49" i="17"/>
  <c r="Q30" i="17"/>
  <c r="D50" i="17"/>
  <c r="P49" i="17"/>
  <c r="P50" i="17"/>
  <c r="I50" i="17"/>
  <c r="N8" i="17"/>
  <c r="Q8" i="17"/>
  <c r="M8" i="17"/>
  <c r="M50" i="17" s="1"/>
  <c r="G49" i="17"/>
  <c r="O8" i="17"/>
  <c r="D49" i="17"/>
  <c r="C50" i="17"/>
  <c r="K50" i="17"/>
  <c r="E50" i="17"/>
  <c r="F50" i="17"/>
  <c r="H50" i="17"/>
  <c r="O51" i="16"/>
  <c r="K51" i="16"/>
  <c r="E51" i="16"/>
  <c r="F51" i="16"/>
  <c r="G51" i="16"/>
  <c r="H51" i="16"/>
  <c r="P51" i="16"/>
  <c r="Z33" i="8"/>
  <c r="Y33" i="8"/>
  <c r="X33" i="8"/>
  <c r="W33" i="8"/>
  <c r="N51" i="16" l="1"/>
  <c r="M51" i="16"/>
  <c r="J10" i="17"/>
  <c r="L10" i="17" s="1"/>
  <c r="L49" i="17" s="1"/>
  <c r="N50" i="16"/>
  <c r="J10" i="16"/>
  <c r="L11" i="16"/>
  <c r="L51" i="16" s="1"/>
  <c r="J51" i="16"/>
  <c r="O50" i="17"/>
  <c r="J11" i="17"/>
  <c r="J50" i="17" s="1"/>
  <c r="N49" i="17"/>
  <c r="Q49" i="17"/>
  <c r="Q50" i="17"/>
  <c r="N50" i="17"/>
  <c r="M49" i="17"/>
  <c r="O49" i="17"/>
  <c r="L11" i="17" l="1"/>
  <c r="L50" i="17" s="1"/>
  <c r="L10" i="16"/>
  <c r="L50" i="16" s="1"/>
  <c r="J50" i="16"/>
  <c r="J49" i="17"/>
  <c r="N67" i="8"/>
  <c r="N66" i="8"/>
  <c r="N65" i="8"/>
  <c r="N64" i="8"/>
  <c r="N63" i="8"/>
  <c r="N62" i="8"/>
  <c r="N61" i="8"/>
  <c r="N60" i="8"/>
  <c r="N59" i="8"/>
  <c r="N58" i="8"/>
  <c r="N57" i="8"/>
  <c r="N56" i="8"/>
  <c r="N55" i="8"/>
  <c r="N54" i="8"/>
  <c r="N53" i="8"/>
  <c r="N52" i="8"/>
  <c r="N51" i="8"/>
  <c r="N50" i="8"/>
  <c r="N49" i="8"/>
  <c r="N48"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5" i="8"/>
  <c r="N4" i="8"/>
  <c r="N3" i="8"/>
  <c r="N2" i="8"/>
  <c r="G68" i="13" l="1"/>
  <c r="F68" i="13"/>
  <c r="E68" i="13"/>
  <c r="D68" i="13"/>
  <c r="C68" i="13"/>
  <c r="C58" i="13"/>
  <c r="J41" i="13"/>
  <c r="E41" i="13"/>
  <c r="F41" i="13" s="1"/>
  <c r="G41" i="13" s="1"/>
  <c r="D41" i="13"/>
  <c r="J40" i="13"/>
  <c r="C3" i="13"/>
  <c r="C74" i="13" s="1"/>
  <c r="C2" i="13"/>
  <c r="C39" i="13" s="1"/>
  <c r="C1" i="13"/>
  <c r="D34" i="13" s="1"/>
  <c r="G20" i="13" l="1"/>
  <c r="C24" i="13"/>
  <c r="E26" i="13"/>
  <c r="D12" i="13"/>
  <c r="G13" i="13"/>
  <c r="E34" i="13"/>
  <c r="E11" i="13"/>
  <c r="C32" i="13"/>
  <c r="F17" i="13"/>
  <c r="G28" i="13"/>
  <c r="F18" i="13"/>
  <c r="C14" i="13"/>
  <c r="C51" i="13" s="1"/>
  <c r="C65" i="13" s="1"/>
  <c r="C64" i="13" s="1"/>
  <c r="G17" i="13"/>
  <c r="G18" i="13"/>
  <c r="I21" i="13"/>
  <c r="J21" i="13" s="1"/>
  <c r="E24" i="13"/>
  <c r="G26" i="13"/>
  <c r="I29" i="13"/>
  <c r="J29" i="13" s="1"/>
  <c r="E32" i="13"/>
  <c r="G34" i="13"/>
  <c r="F11" i="13"/>
  <c r="E12" i="13"/>
  <c r="C11" i="13"/>
  <c r="G11" i="13"/>
  <c r="F12" i="13"/>
  <c r="C13" i="13"/>
  <c r="I14" i="13"/>
  <c r="I17" i="13"/>
  <c r="M17" i="13" s="1"/>
  <c r="N17" i="13" s="1"/>
  <c r="N35" i="13" s="1"/>
  <c r="F19" i="13"/>
  <c r="C22" i="13"/>
  <c r="D25" i="13"/>
  <c r="F27" i="13"/>
  <c r="C30" i="13"/>
  <c r="D33" i="13"/>
  <c r="D11" i="13"/>
  <c r="C12" i="13"/>
  <c r="I12" i="13"/>
  <c r="D13" i="13"/>
  <c r="E18" i="13"/>
  <c r="I19" i="13"/>
  <c r="J19" i="13" s="1"/>
  <c r="D23" i="13"/>
  <c r="F25" i="13"/>
  <c r="I27" i="13"/>
  <c r="J27" i="13" s="1"/>
  <c r="D31" i="13"/>
  <c r="F33" i="13"/>
  <c r="D39" i="13"/>
  <c r="G19" i="13"/>
  <c r="I20" i="13"/>
  <c r="J20" i="13" s="1"/>
  <c r="C23" i="13"/>
  <c r="D24" i="13"/>
  <c r="E25" i="13"/>
  <c r="F26" i="13"/>
  <c r="G27" i="13"/>
  <c r="I28" i="13"/>
  <c r="J28" i="13" s="1"/>
  <c r="C31" i="13"/>
  <c r="D32" i="13"/>
  <c r="E33" i="13"/>
  <c r="F34" i="13"/>
  <c r="E39" i="13"/>
  <c r="F39" i="13"/>
  <c r="I18" i="13"/>
  <c r="J18" i="13" s="1"/>
  <c r="C21" i="13"/>
  <c r="D22" i="13"/>
  <c r="E23" i="13"/>
  <c r="F24" i="13"/>
  <c r="G25" i="13"/>
  <c r="I26" i="13"/>
  <c r="J26" i="13" s="1"/>
  <c r="C29" i="13"/>
  <c r="D30" i="13"/>
  <c r="E31" i="13"/>
  <c r="F32" i="13"/>
  <c r="G33" i="13"/>
  <c r="I34" i="13"/>
  <c r="J34" i="13" s="1"/>
  <c r="G39" i="13"/>
  <c r="E13" i="13"/>
  <c r="D14" i="13"/>
  <c r="D51" i="13" s="1"/>
  <c r="D65" i="13" s="1"/>
  <c r="C20" i="13"/>
  <c r="D21" i="13"/>
  <c r="E22" i="13"/>
  <c r="F23" i="13"/>
  <c r="G24" i="13"/>
  <c r="I25" i="13"/>
  <c r="J25" i="13" s="1"/>
  <c r="C28" i="13"/>
  <c r="D29" i="13"/>
  <c r="E30" i="13"/>
  <c r="F31" i="13"/>
  <c r="G32" i="13"/>
  <c r="I33" i="13"/>
  <c r="J33" i="13" s="1"/>
  <c r="G12" i="13"/>
  <c r="F13" i="13"/>
  <c r="E14" i="13"/>
  <c r="E51" i="13" s="1"/>
  <c r="E65" i="13" s="1"/>
  <c r="C17" i="13"/>
  <c r="C19" i="13"/>
  <c r="D20" i="13"/>
  <c r="E21" i="13"/>
  <c r="F22" i="13"/>
  <c r="G23" i="13"/>
  <c r="I24" i="13"/>
  <c r="J24" i="13" s="1"/>
  <c r="C27" i="13"/>
  <c r="D28" i="13"/>
  <c r="E29" i="13"/>
  <c r="F30" i="13"/>
  <c r="G31" i="13"/>
  <c r="I32" i="13"/>
  <c r="J32" i="13" s="1"/>
  <c r="F14" i="13"/>
  <c r="F51" i="13" s="1"/>
  <c r="F65" i="13" s="1"/>
  <c r="D17" i="13"/>
  <c r="C18" i="13"/>
  <c r="D19" i="13"/>
  <c r="E20" i="13"/>
  <c r="F21" i="13"/>
  <c r="G22" i="13"/>
  <c r="I23" i="13"/>
  <c r="J23" i="13" s="1"/>
  <c r="C26" i="13"/>
  <c r="D27" i="13"/>
  <c r="E28" i="13"/>
  <c r="F29" i="13"/>
  <c r="G30" i="13"/>
  <c r="I31" i="13"/>
  <c r="J31" i="13" s="1"/>
  <c r="C34" i="13"/>
  <c r="I11" i="13"/>
  <c r="I13" i="13"/>
  <c r="G14" i="13"/>
  <c r="G51" i="13" s="1"/>
  <c r="G65" i="13" s="1"/>
  <c r="E17" i="13"/>
  <c r="D18" i="13"/>
  <c r="E19" i="13"/>
  <c r="F20" i="13"/>
  <c r="G21" i="13"/>
  <c r="I22" i="13"/>
  <c r="J22" i="13" s="1"/>
  <c r="C25" i="13"/>
  <c r="D26" i="13"/>
  <c r="E27" i="13"/>
  <c r="F28" i="13"/>
  <c r="G29" i="13"/>
  <c r="I30" i="13"/>
  <c r="J30" i="13" s="1"/>
  <c r="C33" i="13"/>
  <c r="M35" i="13" l="1"/>
  <c r="C15" i="13"/>
  <c r="E15" i="13"/>
  <c r="C63" i="13"/>
  <c r="J17" i="13"/>
  <c r="J35" i="13" s="1"/>
  <c r="M14" i="13"/>
  <c r="N14" i="13" s="1"/>
  <c r="J14" i="13"/>
  <c r="J12" i="13"/>
  <c r="M12" i="13"/>
  <c r="N12" i="13" s="1"/>
  <c r="F35" i="13"/>
  <c r="F15" i="13"/>
  <c r="F37" i="13" s="1"/>
  <c r="G35" i="13"/>
  <c r="C35" i="13"/>
  <c r="C37" i="13" s="1"/>
  <c r="D64" i="13"/>
  <c r="D63" i="13"/>
  <c r="E35" i="13"/>
  <c r="E64" i="13"/>
  <c r="E63" i="13"/>
  <c r="D15" i="13"/>
  <c r="I15" i="13"/>
  <c r="J11" i="13"/>
  <c r="G63" i="13"/>
  <c r="G64" i="13"/>
  <c r="D35" i="13"/>
  <c r="I35" i="13"/>
  <c r="M13" i="13"/>
  <c r="J13" i="13"/>
  <c r="F64" i="13"/>
  <c r="F63" i="13"/>
  <c r="G15" i="13"/>
  <c r="G37" i="13" s="1"/>
  <c r="E37" i="13" l="1"/>
  <c r="E83" i="13"/>
  <c r="E85" i="13" s="1"/>
  <c r="E42" i="13"/>
  <c r="N13" i="13"/>
  <c r="N15" i="13" s="1"/>
  <c r="N37" i="13" s="1"/>
  <c r="M15" i="13"/>
  <c r="M37" i="13" s="1"/>
  <c r="J15" i="13"/>
  <c r="J37" i="13" s="1"/>
  <c r="J42" i="13" s="1"/>
  <c r="G42" i="13"/>
  <c r="G83" i="13"/>
  <c r="G85" i="13" s="1"/>
  <c r="I37" i="13"/>
  <c r="C83" i="13"/>
  <c r="C85" i="13" s="1"/>
  <c r="C42" i="13"/>
  <c r="D37" i="13"/>
  <c r="F83" i="13"/>
  <c r="F85" i="13" s="1"/>
  <c r="F42" i="13"/>
  <c r="J48" i="13" l="1"/>
  <c r="J49" i="13"/>
  <c r="I42" i="13"/>
  <c r="N44" i="13"/>
  <c r="I83" i="13"/>
  <c r="I85" i="13" s="1"/>
  <c r="N43" i="13"/>
  <c r="G48" i="13"/>
  <c r="G49" i="13"/>
  <c r="F48" i="13"/>
  <c r="F49" i="13"/>
  <c r="D83" i="13"/>
  <c r="D85" i="13" s="1"/>
  <c r="D42" i="13"/>
  <c r="C48" i="13"/>
  <c r="C49" i="13"/>
  <c r="E48" i="13"/>
  <c r="E49" i="13"/>
  <c r="D48" i="13" l="1"/>
  <c r="D49" i="13"/>
  <c r="I49" i="13"/>
  <c r="I48" i="13"/>
  <c r="H7" i="8" l="1"/>
  <c r="H6" i="8"/>
  <c r="H5" i="8"/>
  <c r="H4" i="8"/>
  <c r="H3" i="8"/>
  <c r="I7" i="11" l="1"/>
  <c r="I8" i="11"/>
  <c r="I9" i="11"/>
  <c r="I10" i="11"/>
  <c r="I11" i="11"/>
  <c r="I15" i="11"/>
  <c r="I16" i="11"/>
  <c r="I17" i="11"/>
  <c r="I18" i="11"/>
  <c r="I22" i="11"/>
  <c r="I23" i="11"/>
  <c r="I24" i="11"/>
  <c r="I28" i="11"/>
  <c r="I29" i="11"/>
  <c r="I30" i="11"/>
  <c r="I34" i="11"/>
  <c r="I35" i="11"/>
  <c r="I36" i="11"/>
  <c r="C18" i="10"/>
  <c r="D18" i="10" s="1"/>
  <c r="E18" i="10"/>
  <c r="F18" i="10"/>
  <c r="G18" i="10"/>
  <c r="K18" i="10"/>
  <c r="L18" i="10"/>
  <c r="M18" i="10"/>
  <c r="C19" i="10"/>
  <c r="J19" i="10" s="1"/>
  <c r="E19" i="10"/>
  <c r="F19" i="10"/>
  <c r="G19" i="10"/>
  <c r="K19" i="10"/>
  <c r="L19" i="10"/>
  <c r="M19" i="10"/>
  <c r="C20" i="10"/>
  <c r="J20" i="10" s="1"/>
  <c r="E20" i="10"/>
  <c r="F20" i="10"/>
  <c r="G20" i="10"/>
  <c r="K20" i="10"/>
  <c r="L20" i="10"/>
  <c r="M20" i="10"/>
  <c r="C21" i="10"/>
  <c r="J21" i="10" s="1"/>
  <c r="E21" i="10"/>
  <c r="F21" i="10"/>
  <c r="G21" i="10"/>
  <c r="K21" i="10"/>
  <c r="L21" i="10"/>
  <c r="M21" i="10"/>
  <c r="C22" i="10"/>
  <c r="D22" i="10" s="1"/>
  <c r="E22" i="10"/>
  <c r="F22" i="10"/>
  <c r="G22" i="10"/>
  <c r="K22" i="10"/>
  <c r="L22" i="10"/>
  <c r="M22" i="10"/>
  <c r="B23" i="10"/>
  <c r="B72" i="10" s="1"/>
  <c r="I23" i="10"/>
  <c r="I72" i="10" s="1"/>
  <c r="C31" i="10"/>
  <c r="D31" i="10" s="1"/>
  <c r="F31" i="10"/>
  <c r="G31" i="10"/>
  <c r="L31" i="10"/>
  <c r="M31" i="10"/>
  <c r="C32" i="10"/>
  <c r="D32" i="10" s="1"/>
  <c r="F32" i="10"/>
  <c r="G32" i="10"/>
  <c r="L32" i="10"/>
  <c r="M32" i="10"/>
  <c r="C33" i="10"/>
  <c r="D33" i="10" s="1"/>
  <c r="F33" i="10"/>
  <c r="G33" i="10"/>
  <c r="L33" i="10"/>
  <c r="M33" i="10"/>
  <c r="B34" i="10"/>
  <c r="B73" i="10" s="1"/>
  <c r="I34" i="10"/>
  <c r="I73" i="10" s="1"/>
  <c r="C42" i="10"/>
  <c r="D42" i="10" s="1"/>
  <c r="F42" i="10"/>
  <c r="G42" i="10"/>
  <c r="L42" i="10"/>
  <c r="M42" i="10"/>
  <c r="C43" i="10"/>
  <c r="J43" i="10" s="1"/>
  <c r="F43" i="10"/>
  <c r="G43" i="10"/>
  <c r="L43" i="10"/>
  <c r="M43" i="10"/>
  <c r="B44" i="10"/>
  <c r="I44" i="10"/>
  <c r="I74" i="10" s="1"/>
  <c r="C52" i="10"/>
  <c r="D52" i="10" s="1"/>
  <c r="F52" i="10"/>
  <c r="G52" i="10"/>
  <c r="C53" i="10"/>
  <c r="D53" i="10" s="1"/>
  <c r="F53" i="10"/>
  <c r="G53" i="10"/>
  <c r="B54" i="10"/>
  <c r="C62" i="10"/>
  <c r="D62" i="10" s="1"/>
  <c r="F62" i="10"/>
  <c r="G62" i="10"/>
  <c r="C63" i="10"/>
  <c r="D63" i="10" s="1"/>
  <c r="F63" i="10"/>
  <c r="G63" i="10"/>
  <c r="B64" i="10"/>
  <c r="B82" i="10"/>
  <c r="H85" i="10"/>
  <c r="E90" i="10"/>
  <c r="K23" i="10" l="1"/>
  <c r="K72" i="10" s="1"/>
  <c r="K75" i="10" s="1"/>
  <c r="F23" i="10"/>
  <c r="F72" i="10" s="1"/>
  <c r="B74" i="10"/>
  <c r="L34" i="10"/>
  <c r="L73" i="10" s="1"/>
  <c r="J31" i="10"/>
  <c r="M44" i="10"/>
  <c r="M74" i="10" s="1"/>
  <c r="H31" i="10"/>
  <c r="D54" i="10"/>
  <c r="E23" i="10"/>
  <c r="E72" i="10" s="1"/>
  <c r="M23" i="10"/>
  <c r="M72" i="10" s="1"/>
  <c r="J42" i="10"/>
  <c r="J33" i="10"/>
  <c r="N33" i="10" s="1"/>
  <c r="H63" i="10"/>
  <c r="F64" i="10"/>
  <c r="F44" i="10"/>
  <c r="H32" i="10"/>
  <c r="G44" i="10"/>
  <c r="J32" i="10"/>
  <c r="N32" i="10" s="1"/>
  <c r="F54" i="10"/>
  <c r="L44" i="10"/>
  <c r="L74" i="10" s="1"/>
  <c r="M34" i="10"/>
  <c r="M73" i="10" s="1"/>
  <c r="N31" i="10"/>
  <c r="N21" i="10"/>
  <c r="L23" i="10"/>
  <c r="L72" i="10" s="1"/>
  <c r="F79" i="10" s="1"/>
  <c r="G54" i="10"/>
  <c r="N20" i="10"/>
  <c r="H53" i="10"/>
  <c r="H52" i="10"/>
  <c r="N42" i="10"/>
  <c r="H33" i="10"/>
  <c r="O33" i="10" s="1"/>
  <c r="G34" i="10"/>
  <c r="H22" i="10"/>
  <c r="G64" i="10"/>
  <c r="F34" i="10"/>
  <c r="N19" i="10"/>
  <c r="G23" i="10"/>
  <c r="G72" i="10" s="1"/>
  <c r="G79" i="10" s="1"/>
  <c r="E79" i="10"/>
  <c r="E75" i="10"/>
  <c r="H62" i="10"/>
  <c r="D64" i="10"/>
  <c r="G74" i="10"/>
  <c r="H18" i="10"/>
  <c r="N43" i="10"/>
  <c r="J44" i="10"/>
  <c r="J74" i="10" s="1"/>
  <c r="H42" i="10"/>
  <c r="J22" i="10"/>
  <c r="N22" i="10" s="1"/>
  <c r="J18" i="10"/>
  <c r="D43" i="10"/>
  <c r="D21" i="10"/>
  <c r="H21" i="10" s="1"/>
  <c r="D19" i="10"/>
  <c r="H19" i="10" s="1"/>
  <c r="D20" i="10"/>
  <c r="H20" i="10" s="1"/>
  <c r="O20" i="10" s="1"/>
  <c r="D34" i="10"/>
  <c r="C6" i="9"/>
  <c r="H54" i="10" l="1"/>
  <c r="M75" i="10"/>
  <c r="N34" i="10"/>
  <c r="O31" i="10"/>
  <c r="D73" i="10"/>
  <c r="O21" i="10"/>
  <c r="G81" i="10"/>
  <c r="J34" i="10"/>
  <c r="J73" i="10" s="1"/>
  <c r="N73" i="10" s="1"/>
  <c r="F73" i="10"/>
  <c r="F80" i="10" s="1"/>
  <c r="H34" i="10"/>
  <c r="O22" i="10"/>
  <c r="F74" i="10"/>
  <c r="F75" i="10" s="1"/>
  <c r="H64" i="10"/>
  <c r="N74" i="10"/>
  <c r="L75" i="10"/>
  <c r="O32" i="10"/>
  <c r="O34" i="10" s="1"/>
  <c r="G73" i="10"/>
  <c r="G80" i="10" s="1"/>
  <c r="O19" i="10"/>
  <c r="N44" i="10"/>
  <c r="G44" i="9"/>
  <c r="C44" i="9"/>
  <c r="F44" i="9"/>
  <c r="E44" i="9"/>
  <c r="D44" i="9"/>
  <c r="D23" i="10"/>
  <c r="D72" i="10" s="1"/>
  <c r="D44" i="10"/>
  <c r="D74" i="10" s="1"/>
  <c r="H43" i="10"/>
  <c r="O43" i="10" s="1"/>
  <c r="J23" i="10"/>
  <c r="J72" i="10" s="1"/>
  <c r="N18" i="10"/>
  <c r="N23" i="10" s="1"/>
  <c r="O42" i="10"/>
  <c r="H23" i="10"/>
  <c r="G82" i="10" l="1"/>
  <c r="G90" i="10" s="1"/>
  <c r="D80" i="10"/>
  <c r="F81" i="10"/>
  <c r="F82" i="10" s="1"/>
  <c r="F90" i="10" s="1"/>
  <c r="H73" i="10"/>
  <c r="G75" i="10"/>
  <c r="O44" i="10"/>
  <c r="H44" i="10"/>
  <c r="H72" i="10"/>
  <c r="D75" i="10"/>
  <c r="D79" i="10"/>
  <c r="O73" i="10"/>
  <c r="H80" i="10"/>
  <c r="O18" i="10"/>
  <c r="O23" i="10" s="1"/>
  <c r="J75" i="10"/>
  <c r="N72" i="10"/>
  <c r="N75" i="10" s="1"/>
  <c r="D81" i="10"/>
  <c r="H74" i="10"/>
  <c r="K8" i="9"/>
  <c r="I6" i="9"/>
  <c r="I46" i="9" s="1"/>
  <c r="H6" i="9"/>
  <c r="H9" i="9" s="1"/>
  <c r="H8" i="9" s="1"/>
  <c r="H49" i="9" s="1"/>
  <c r="Q6" i="9"/>
  <c r="P6" i="9"/>
  <c r="O6" i="9"/>
  <c r="N6" i="9"/>
  <c r="M6" i="9"/>
  <c r="L6" i="9"/>
  <c r="K6" i="9"/>
  <c r="J6" i="9"/>
  <c r="C46" i="9"/>
  <c r="G6" i="9"/>
  <c r="F6" i="9"/>
  <c r="E6" i="9"/>
  <c r="D6" i="9"/>
  <c r="P36" i="9"/>
  <c r="K36" i="9"/>
  <c r="P30" i="9"/>
  <c r="K30" i="9"/>
  <c r="P8" i="9"/>
  <c r="P49" i="9" l="1"/>
  <c r="K49" i="9"/>
  <c r="P50" i="9"/>
  <c r="J11" i="9"/>
  <c r="L11" i="9"/>
  <c r="D34" i="9"/>
  <c r="E38" i="9"/>
  <c r="F40" i="9"/>
  <c r="G54" i="9"/>
  <c r="H75" i="10"/>
  <c r="O72" i="10"/>
  <c r="H79" i="10"/>
  <c r="D82" i="10"/>
  <c r="D90" i="10" s="1"/>
  <c r="O74" i="10"/>
  <c r="H81" i="10"/>
  <c r="D18" i="9"/>
  <c r="E13" i="9"/>
  <c r="E14" i="9"/>
  <c r="F16" i="9"/>
  <c r="F19" i="9"/>
  <c r="F31" i="9"/>
  <c r="F45" i="9"/>
  <c r="J33" i="9"/>
  <c r="G21" i="9"/>
  <c r="G40" i="9"/>
  <c r="D26" i="9"/>
  <c r="F38" i="9"/>
  <c r="G24" i="9"/>
  <c r="G45" i="9"/>
  <c r="G17" i="9"/>
  <c r="G20" i="9"/>
  <c r="G12" i="9"/>
  <c r="E25" i="9"/>
  <c r="G13" i="9"/>
  <c r="G31" i="9"/>
  <c r="G37" i="9"/>
  <c r="G38" i="9"/>
  <c r="G25" i="9"/>
  <c r="G46" i="9"/>
  <c r="G28" i="9"/>
  <c r="F14" i="9"/>
  <c r="G16" i="9"/>
  <c r="G34" i="9"/>
  <c r="I23" i="9"/>
  <c r="I33" i="9"/>
  <c r="I54" i="9"/>
  <c r="I15" i="9"/>
  <c r="I25" i="9"/>
  <c r="I37" i="9"/>
  <c r="I18" i="9"/>
  <c r="I26" i="9"/>
  <c r="I38" i="9"/>
  <c r="I9" i="9"/>
  <c r="I19" i="9"/>
  <c r="I27" i="9"/>
  <c r="I39" i="9"/>
  <c r="I16" i="9"/>
  <c r="I24" i="9"/>
  <c r="I34" i="9"/>
  <c r="I17" i="9"/>
  <c r="I12" i="9"/>
  <c r="I20" i="9"/>
  <c r="I28" i="9"/>
  <c r="I40" i="9"/>
  <c r="I13" i="9"/>
  <c r="I21" i="9"/>
  <c r="I31" i="9"/>
  <c r="I45" i="9"/>
  <c r="I14" i="9"/>
  <c r="I22" i="9"/>
  <c r="I32" i="9"/>
  <c r="G18" i="9"/>
  <c r="G26" i="9"/>
  <c r="G9" i="9"/>
  <c r="G19" i="9"/>
  <c r="G27" i="9"/>
  <c r="G39" i="9"/>
  <c r="G14" i="9"/>
  <c r="G22" i="9"/>
  <c r="G32" i="9"/>
  <c r="G15" i="9"/>
  <c r="G23" i="9"/>
  <c r="G33" i="9"/>
  <c r="F9" i="9"/>
  <c r="F27" i="9"/>
  <c r="E17" i="9"/>
  <c r="E18" i="9"/>
  <c r="E24" i="9"/>
  <c r="E31" i="9"/>
  <c r="E34" i="9"/>
  <c r="D27" i="9"/>
  <c r="D13" i="9"/>
  <c r="C15" i="9"/>
  <c r="C14" i="9"/>
  <c r="C22" i="9"/>
  <c r="D37" i="9"/>
  <c r="E20" i="9"/>
  <c r="E39" i="9"/>
  <c r="F22" i="9"/>
  <c r="F46" i="9"/>
  <c r="C23" i="9"/>
  <c r="D38" i="9"/>
  <c r="E21" i="9"/>
  <c r="E40" i="9"/>
  <c r="F23" i="9"/>
  <c r="D9" i="9"/>
  <c r="E12" i="9"/>
  <c r="E22" i="9"/>
  <c r="E45" i="9"/>
  <c r="F24" i="9"/>
  <c r="C12" i="9"/>
  <c r="D19" i="9"/>
  <c r="E16" i="9"/>
  <c r="E28" i="9"/>
  <c r="F15" i="9"/>
  <c r="F32" i="9"/>
  <c r="F33" i="9"/>
  <c r="F54" i="9"/>
  <c r="F17" i="9"/>
  <c r="F25" i="9"/>
  <c r="F34" i="9"/>
  <c r="F18" i="9"/>
  <c r="F26" i="9"/>
  <c r="F37" i="9"/>
  <c r="F12" i="9"/>
  <c r="F20" i="9"/>
  <c r="F28" i="9"/>
  <c r="F39" i="9"/>
  <c r="F13" i="9"/>
  <c r="F21" i="9"/>
  <c r="E15" i="9"/>
  <c r="E23" i="9"/>
  <c r="E32" i="9"/>
  <c r="E46" i="9"/>
  <c r="E33" i="9"/>
  <c r="E54" i="9"/>
  <c r="E26" i="9"/>
  <c r="E37" i="9"/>
  <c r="E9" i="9"/>
  <c r="E19" i="9"/>
  <c r="E27" i="9"/>
  <c r="D12" i="9"/>
  <c r="D20" i="9"/>
  <c r="D28" i="9"/>
  <c r="D39" i="9"/>
  <c r="D21" i="9"/>
  <c r="D40" i="9"/>
  <c r="D14" i="9"/>
  <c r="D22" i="9"/>
  <c r="D31" i="9"/>
  <c r="D45" i="9"/>
  <c r="D15" i="9"/>
  <c r="D23" i="9"/>
  <c r="D32" i="9"/>
  <c r="D46" i="9"/>
  <c r="D16" i="9"/>
  <c r="D24" i="9"/>
  <c r="D33" i="9"/>
  <c r="D54" i="9"/>
  <c r="D17" i="9"/>
  <c r="D25" i="9"/>
  <c r="C33" i="9"/>
  <c r="C54" i="9"/>
  <c r="C16" i="9"/>
  <c r="C24" i="9"/>
  <c r="C34" i="9"/>
  <c r="C17" i="9"/>
  <c r="C25" i="9"/>
  <c r="C37" i="9"/>
  <c r="C18" i="9"/>
  <c r="C38" i="9"/>
  <c r="C26" i="9"/>
  <c r="C9" i="9"/>
  <c r="C19" i="9"/>
  <c r="C27" i="9"/>
  <c r="C39" i="9"/>
  <c r="C20" i="9"/>
  <c r="C28" i="9"/>
  <c r="C40" i="9"/>
  <c r="C13" i="9"/>
  <c r="C21" i="9"/>
  <c r="C31" i="9"/>
  <c r="C45" i="9"/>
  <c r="C32" i="9"/>
  <c r="H50" i="9"/>
  <c r="K50" i="9"/>
  <c r="O75" i="10" l="1"/>
  <c r="H82" i="10"/>
  <c r="H90" i="10" s="1"/>
  <c r="C8" i="9"/>
  <c r="F36" i="9"/>
  <c r="G30" i="9"/>
  <c r="G36" i="9"/>
  <c r="D36" i="9"/>
  <c r="I36" i="9"/>
  <c r="I8" i="9"/>
  <c r="I30" i="9"/>
  <c r="G8" i="9"/>
  <c r="C30" i="9"/>
  <c r="F30" i="9"/>
  <c r="E36" i="9"/>
  <c r="D8" i="9"/>
  <c r="F8" i="9"/>
  <c r="E30" i="9"/>
  <c r="E8" i="9"/>
  <c r="D30" i="9"/>
  <c r="C36" i="9"/>
  <c r="D50" i="9" l="1"/>
  <c r="D49" i="9"/>
  <c r="I50" i="9"/>
  <c r="I49" i="9"/>
  <c r="G50" i="9"/>
  <c r="G49" i="9"/>
  <c r="C50" i="9"/>
  <c r="C49" i="9"/>
  <c r="F50" i="9"/>
  <c r="F49" i="9"/>
  <c r="E50" i="9"/>
  <c r="E49" i="9"/>
  <c r="C29" i="26" l="1"/>
  <c r="C30" i="26" s="1"/>
  <c r="C31" i="26" s="1"/>
  <c r="Q40" i="9" l="1"/>
  <c r="O40" i="9"/>
  <c r="N40" i="9"/>
  <c r="M40" i="9"/>
  <c r="L40" i="9"/>
  <c r="Q39" i="9"/>
  <c r="O39" i="9"/>
  <c r="N39" i="9"/>
  <c r="M39" i="9"/>
  <c r="L39" i="9"/>
  <c r="J39" i="9"/>
  <c r="Q38" i="9"/>
  <c r="O38" i="9"/>
  <c r="N38" i="9"/>
  <c r="M38" i="9"/>
  <c r="L38" i="9"/>
  <c r="J38" i="9"/>
  <c r="Q37" i="9"/>
  <c r="O37" i="9"/>
  <c r="N37" i="9"/>
  <c r="N36" i="9" s="1"/>
  <c r="M37" i="9"/>
  <c r="M36" i="9" s="1"/>
  <c r="L34" i="9"/>
  <c r="J34" i="9"/>
  <c r="Q33" i="9"/>
  <c r="O33" i="9"/>
  <c r="N33" i="9"/>
  <c r="M33" i="9"/>
  <c r="L33" i="9"/>
  <c r="Q32" i="9"/>
  <c r="O32" i="9"/>
  <c r="N32" i="9"/>
  <c r="M32" i="9"/>
  <c r="L32" i="9"/>
  <c r="L30" i="9" s="1"/>
  <c r="J32" i="9"/>
  <c r="J30" i="9" s="1"/>
  <c r="Q31" i="9"/>
  <c r="Q30" i="9" s="1"/>
  <c r="O31" i="9"/>
  <c r="O30" i="9" s="1"/>
  <c r="N31" i="9"/>
  <c r="N30" i="9" s="1"/>
  <c r="M31" i="9"/>
  <c r="M30" i="9" s="1"/>
  <c r="Q28" i="9"/>
  <c r="O28" i="9"/>
  <c r="N28" i="9"/>
  <c r="M28" i="9"/>
  <c r="Q27" i="9"/>
  <c r="O27" i="9"/>
  <c r="N27" i="9"/>
  <c r="M27" i="9"/>
  <c r="Q26" i="9"/>
  <c r="O26" i="9"/>
  <c r="N26" i="9"/>
  <c r="M26" i="9"/>
  <c r="Q25" i="9"/>
  <c r="O25" i="9"/>
  <c r="N25" i="9"/>
  <c r="M25" i="9"/>
  <c r="Q24" i="9"/>
  <c r="O24" i="9"/>
  <c r="N24" i="9"/>
  <c r="M24" i="9"/>
  <c r="Q23" i="9"/>
  <c r="O23" i="9"/>
  <c r="N23" i="9"/>
  <c r="M23" i="9"/>
  <c r="Q22" i="9"/>
  <c r="O22" i="9"/>
  <c r="N22" i="9"/>
  <c r="M22" i="9"/>
  <c r="Q21" i="9"/>
  <c r="O21" i="9"/>
  <c r="N21" i="9"/>
  <c r="M21" i="9"/>
  <c r="Q20" i="9"/>
  <c r="O20" i="9"/>
  <c r="N20" i="9"/>
  <c r="M20" i="9"/>
  <c r="Q19" i="9"/>
  <c r="O19" i="9"/>
  <c r="N19" i="9"/>
  <c r="M19" i="9"/>
  <c r="Q18" i="9"/>
  <c r="O18" i="9"/>
  <c r="N18" i="9"/>
  <c r="M18" i="9"/>
  <c r="Q17" i="9"/>
  <c r="O17" i="9"/>
  <c r="N17" i="9"/>
  <c r="M17" i="9"/>
  <c r="Q16" i="9"/>
  <c r="O16" i="9"/>
  <c r="N16" i="9"/>
  <c r="M16" i="9"/>
  <c r="Q15" i="9"/>
  <c r="O15" i="9"/>
  <c r="N15" i="9"/>
  <c r="M15" i="9"/>
  <c r="Q14" i="9"/>
  <c r="O14" i="9"/>
  <c r="N14" i="9"/>
  <c r="M14" i="9"/>
  <c r="Q13" i="9"/>
  <c r="O13" i="9"/>
  <c r="N13" i="9"/>
  <c r="M13" i="9"/>
  <c r="Q12" i="9"/>
  <c r="O12" i="9"/>
  <c r="N12" i="9"/>
  <c r="M12" i="9"/>
  <c r="Q9" i="9"/>
  <c r="O9" i="9"/>
  <c r="N9" i="9"/>
  <c r="N8" i="9" s="1"/>
  <c r="M9" i="9"/>
  <c r="M8" i="9" s="1"/>
  <c r="V34" i="8" l="1"/>
  <c r="V30" i="8"/>
  <c r="V2" i="8"/>
  <c r="V20" i="8"/>
  <c r="V35" i="8"/>
  <c r="V3" i="8"/>
  <c r="V21" i="8"/>
  <c r="V4" i="8"/>
  <c r="V22" i="8"/>
  <c r="V36" i="8"/>
  <c r="V5" i="8"/>
  <c r="V23" i="8"/>
  <c r="V37" i="8"/>
  <c r="V38" i="8"/>
  <c r="V24" i="8"/>
  <c r="V6" i="8"/>
  <c r="V29" i="8"/>
  <c r="M34" i="9"/>
  <c r="N34" i="9"/>
  <c r="O34" i="9"/>
  <c r="Q34" i="9"/>
  <c r="O8" i="9"/>
  <c r="O49" i="9" s="1"/>
  <c r="L36" i="9"/>
  <c r="O36" i="9"/>
  <c r="M50" i="9"/>
  <c r="M49" i="9"/>
  <c r="N49" i="9"/>
  <c r="N50" i="9"/>
  <c r="Q36" i="9"/>
  <c r="V33" i="8"/>
  <c r="J40" i="9"/>
  <c r="J36" i="9" s="1"/>
  <c r="Q8" i="9"/>
  <c r="Q50" i="9" l="1"/>
  <c r="O50" i="9"/>
  <c r="Q49" i="9"/>
  <c r="J10" i="9"/>
  <c r="J8" i="9" s="1"/>
  <c r="L10" i="9" l="1"/>
  <c r="L8" i="9" s="1"/>
  <c r="B29" i="26" l="1"/>
  <c r="B30" i="26" l="1"/>
  <c r="B31" i="26" l="1"/>
  <c r="D32"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 Alicia</author>
  </authors>
  <commentList>
    <comment ref="J8" authorId="0" shapeId="0" xr:uid="{4BADC669-EFFF-4AF8-9741-0BF2B71B6CD0}">
      <text>
        <r>
          <rPr>
            <b/>
            <sz val="9"/>
            <color indexed="81"/>
            <rFont val="Tahoma"/>
            <family val="2"/>
          </rPr>
          <t>Li, Alicia:</t>
        </r>
        <r>
          <rPr>
            <sz val="9"/>
            <color indexed="81"/>
            <rFont val="Tahoma"/>
            <family val="2"/>
          </rPr>
          <t xml:space="preserve">
see below plug-in numbers
</t>
        </r>
      </text>
    </comment>
    <comment ref="J10" authorId="0" shapeId="0" xr:uid="{862AA189-0B0D-4DC2-A616-F2545E69729E}">
      <text>
        <r>
          <rPr>
            <b/>
            <sz val="9"/>
            <color indexed="81"/>
            <rFont val="Tahoma"/>
            <family val="2"/>
          </rPr>
          <t>Li, Alicia:</t>
        </r>
        <r>
          <rPr>
            <sz val="9"/>
            <color indexed="81"/>
            <rFont val="Tahoma"/>
            <family val="2"/>
          </rPr>
          <t xml:space="preserve">
80% of full roads charge</t>
        </r>
      </text>
    </comment>
    <comment ref="J11" authorId="0" shapeId="0" xr:uid="{DABBBB28-E766-4182-8E44-BE36CC21B2C3}">
      <text>
        <r>
          <rPr>
            <b/>
            <sz val="9"/>
            <color indexed="81"/>
            <rFont val="Tahoma"/>
            <family val="2"/>
          </rPr>
          <t>Li, Alicia:</t>
        </r>
        <r>
          <rPr>
            <sz val="9"/>
            <color indexed="81"/>
            <rFont val="Tahoma"/>
            <family val="2"/>
          </rPr>
          <t xml:space="preserve">
69% of full roads charge
</t>
        </r>
      </text>
    </comment>
    <comment ref="J50" authorId="0" shapeId="0" xr:uid="{932AFEF8-8AFC-432D-8A5F-DC52BDADFBF7}">
      <text>
        <r>
          <rPr>
            <b/>
            <sz val="9"/>
            <color indexed="81"/>
            <rFont val="Tahoma"/>
            <family val="2"/>
          </rPr>
          <t>Li, Alicia:</t>
        </r>
        <r>
          <rPr>
            <sz val="9"/>
            <color indexed="81"/>
            <rFont val="Tahoma"/>
            <family val="2"/>
          </rPr>
          <t xml:space="preserve">
@61% of full charge
</t>
        </r>
      </text>
    </comment>
    <comment ref="L50" authorId="0" shapeId="0" xr:uid="{52B45E52-49B9-418B-BE23-42A409CCDF96}">
      <text>
        <r>
          <rPr>
            <b/>
            <sz val="9"/>
            <color indexed="81"/>
            <rFont val="Tahoma"/>
            <family val="2"/>
          </rPr>
          <t>Li, Alicia:</t>
        </r>
        <r>
          <rPr>
            <sz val="9"/>
            <color indexed="81"/>
            <rFont val="Tahoma"/>
            <family val="2"/>
          </rPr>
          <t xml:space="preserve">
@61% of full charge
</t>
        </r>
      </text>
    </comment>
    <comment ref="J51" authorId="0" shapeId="0" xr:uid="{38053DA8-C8DB-4CBB-BDC0-15A5EA93E39C}">
      <text>
        <r>
          <rPr>
            <b/>
            <sz val="9"/>
            <color indexed="81"/>
            <rFont val="Tahoma"/>
            <family val="2"/>
          </rPr>
          <t>Li, Alicia:</t>
        </r>
        <r>
          <rPr>
            <sz val="9"/>
            <color indexed="81"/>
            <rFont val="Tahoma"/>
            <family val="2"/>
          </rPr>
          <t xml:space="preserve">
@61% of full charge
</t>
        </r>
      </text>
    </comment>
    <comment ref="L51" authorId="0" shapeId="0" xr:uid="{F5B17ECD-3AA3-40B3-8753-46F3BCE204D8}">
      <text>
        <r>
          <rPr>
            <b/>
            <sz val="9"/>
            <color indexed="81"/>
            <rFont val="Tahoma"/>
            <family val="2"/>
          </rPr>
          <t>Li, Alicia:</t>
        </r>
        <r>
          <rPr>
            <sz val="9"/>
            <color indexed="81"/>
            <rFont val="Tahoma"/>
            <family val="2"/>
          </rPr>
          <t xml:space="preserve">
@61% of full charge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 Alicia</author>
  </authors>
  <commentList>
    <comment ref="K8" authorId="0" shapeId="0" xr:uid="{E8D11CE9-A534-4F27-AD91-E1B9F8E3BB0F}">
      <text>
        <r>
          <rPr>
            <b/>
            <sz val="9"/>
            <color indexed="81"/>
            <rFont val="Tahoma"/>
            <family val="2"/>
          </rPr>
          <t>Li, Alicia:</t>
        </r>
        <r>
          <rPr>
            <sz val="9"/>
            <color indexed="81"/>
            <rFont val="Tahoma"/>
            <family val="2"/>
          </rPr>
          <t xml:space="preserve">
see below plug-in numbers
</t>
        </r>
      </text>
    </comment>
    <comment ref="H10" authorId="0" shapeId="0" xr:uid="{B0AA4D01-8BD8-4887-9894-65A8D9D5DD6F}">
      <text>
        <r>
          <rPr>
            <b/>
            <sz val="9"/>
            <color indexed="81"/>
            <rFont val="Tahoma"/>
            <family val="2"/>
          </rPr>
          <t>Li, Alicia:</t>
        </r>
        <r>
          <rPr>
            <sz val="9"/>
            <color indexed="81"/>
            <rFont val="Tahoma"/>
            <family val="2"/>
          </rPr>
          <t xml:space="preserve">
using combined system - 80% of roads services</t>
        </r>
      </text>
    </comment>
    <comment ref="H11" authorId="0" shapeId="0" xr:uid="{2CC16C64-4647-402F-81C4-3D8623B057A2}">
      <text>
        <r>
          <rPr>
            <b/>
            <sz val="9"/>
            <color indexed="81"/>
            <rFont val="Tahoma"/>
            <family val="2"/>
          </rPr>
          <t>Li, Alicia:</t>
        </r>
        <r>
          <rPr>
            <sz val="9"/>
            <color indexed="81"/>
            <rFont val="Tahoma"/>
            <family val="2"/>
          </rPr>
          <t xml:space="preserve">
using separated system - 69% of roads services</t>
        </r>
      </text>
    </comment>
    <comment ref="I30" authorId="0" shapeId="0" xr:uid="{F298B261-AE98-4861-966D-43BBB4D9C081}">
      <text>
        <r>
          <rPr>
            <b/>
            <sz val="9"/>
            <color indexed="81"/>
            <rFont val="Tahoma"/>
            <family val="2"/>
          </rPr>
          <t>Li, Alicia:</t>
        </r>
        <r>
          <rPr>
            <sz val="9"/>
            <color indexed="81"/>
            <rFont val="Tahoma"/>
            <family val="2"/>
          </rPr>
          <t xml:space="preserve">
Full rural non-res rate
</t>
        </r>
      </text>
    </comment>
    <comment ref="K50" authorId="0" shapeId="0" xr:uid="{9FDF6C8B-14FD-4A91-82DE-D32E9586292A}">
      <text>
        <r>
          <rPr>
            <b/>
            <sz val="9"/>
            <color indexed="81"/>
            <rFont val="Tahoma"/>
            <family val="2"/>
          </rPr>
          <t>Li, Alicia:</t>
        </r>
        <r>
          <rPr>
            <sz val="9"/>
            <color indexed="81"/>
            <rFont val="Tahoma"/>
            <family val="2"/>
          </rPr>
          <t xml:space="preserve">
@61% of full charge
</t>
        </r>
      </text>
    </comment>
    <comment ref="M50" authorId="0" shapeId="0" xr:uid="{820B2DA4-F42D-4AD5-9916-BD03ECAEE9D6}">
      <text>
        <r>
          <rPr>
            <b/>
            <sz val="9"/>
            <color indexed="81"/>
            <rFont val="Tahoma"/>
            <family val="2"/>
          </rPr>
          <t>Li, Alicia:</t>
        </r>
        <r>
          <rPr>
            <sz val="9"/>
            <color indexed="81"/>
            <rFont val="Tahoma"/>
            <family val="2"/>
          </rPr>
          <t xml:space="preserve">
@61% of full charge
</t>
        </r>
      </text>
    </comment>
    <comment ref="K51" authorId="0" shapeId="0" xr:uid="{7467CF55-8AF5-4B36-AD90-90D51058E432}">
      <text>
        <r>
          <rPr>
            <b/>
            <sz val="9"/>
            <color indexed="81"/>
            <rFont val="Tahoma"/>
            <family val="2"/>
          </rPr>
          <t>Li, Alicia:</t>
        </r>
        <r>
          <rPr>
            <sz val="9"/>
            <color indexed="81"/>
            <rFont val="Tahoma"/>
            <family val="2"/>
          </rPr>
          <t xml:space="preserve">
@61% of full charge
</t>
        </r>
      </text>
    </comment>
    <comment ref="M51" authorId="0" shapeId="0" xr:uid="{0275FEB9-7C43-45F3-ACD3-63362D95888F}">
      <text>
        <r>
          <rPr>
            <b/>
            <sz val="9"/>
            <color indexed="81"/>
            <rFont val="Tahoma"/>
            <family val="2"/>
          </rPr>
          <t>Li, Alicia:</t>
        </r>
        <r>
          <rPr>
            <sz val="9"/>
            <color indexed="81"/>
            <rFont val="Tahoma"/>
            <family val="2"/>
          </rPr>
          <t xml:space="preserve">
@61% of full charge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 Alicia</author>
  </authors>
  <commentList>
    <comment ref="J8" authorId="0" shapeId="0" xr:uid="{3F0A2F3A-BADF-437F-A5EF-EE3274EF0F8F}">
      <text>
        <r>
          <rPr>
            <b/>
            <sz val="9"/>
            <color indexed="81"/>
            <rFont val="Tahoma"/>
            <family val="2"/>
          </rPr>
          <t>Li, Alicia:</t>
        </r>
        <r>
          <rPr>
            <sz val="9"/>
            <color indexed="81"/>
            <rFont val="Tahoma"/>
            <family val="2"/>
          </rPr>
          <t xml:space="preserve">
see below plug-in numbers
</t>
        </r>
      </text>
    </comment>
    <comment ref="J10" authorId="0" shapeId="0" xr:uid="{2298EA05-BBA7-4C7A-8CC1-FC47625F4442}">
      <text>
        <r>
          <rPr>
            <b/>
            <sz val="9"/>
            <color indexed="81"/>
            <rFont val="Tahoma"/>
            <family val="2"/>
          </rPr>
          <t>Li, Alicia:</t>
        </r>
        <r>
          <rPr>
            <sz val="9"/>
            <color indexed="81"/>
            <rFont val="Tahoma"/>
            <family val="2"/>
          </rPr>
          <t xml:space="preserve">
80% of full roads charge</t>
        </r>
      </text>
    </comment>
    <comment ref="J11" authorId="0" shapeId="0" xr:uid="{D83EC598-C98D-4C61-AD4F-5FD6606A11B6}">
      <text>
        <r>
          <rPr>
            <b/>
            <sz val="9"/>
            <color indexed="81"/>
            <rFont val="Tahoma"/>
            <family val="2"/>
          </rPr>
          <t>Li, Alicia:</t>
        </r>
        <r>
          <rPr>
            <sz val="9"/>
            <color indexed="81"/>
            <rFont val="Tahoma"/>
            <family val="2"/>
          </rPr>
          <t xml:space="preserve">
69% of full roads charge
</t>
        </r>
      </text>
    </comment>
    <comment ref="J49" authorId="0" shapeId="0" xr:uid="{FF1A56EC-DFA7-45F3-8C79-57729F9AE0EA}">
      <text>
        <r>
          <rPr>
            <b/>
            <sz val="9"/>
            <color indexed="81"/>
            <rFont val="Tahoma"/>
            <family val="2"/>
          </rPr>
          <t>Li, Alicia:</t>
        </r>
        <r>
          <rPr>
            <sz val="9"/>
            <color indexed="81"/>
            <rFont val="Tahoma"/>
            <family val="2"/>
          </rPr>
          <t xml:space="preserve">
@61% of full charge
</t>
        </r>
      </text>
    </comment>
    <comment ref="L49" authorId="0" shapeId="0" xr:uid="{B2EE4EA0-8C5B-4B24-A100-F813D817D077}">
      <text>
        <r>
          <rPr>
            <b/>
            <sz val="9"/>
            <color indexed="81"/>
            <rFont val="Tahoma"/>
            <family val="2"/>
          </rPr>
          <t>Li, Alicia:</t>
        </r>
        <r>
          <rPr>
            <sz val="9"/>
            <color indexed="81"/>
            <rFont val="Tahoma"/>
            <family val="2"/>
          </rPr>
          <t xml:space="preserve">
@61% of full charge
</t>
        </r>
      </text>
    </comment>
    <comment ref="J50" authorId="0" shapeId="0" xr:uid="{E38C9218-5ABC-472E-868F-487631862952}">
      <text>
        <r>
          <rPr>
            <b/>
            <sz val="9"/>
            <color indexed="81"/>
            <rFont val="Tahoma"/>
            <family val="2"/>
          </rPr>
          <t>Li, Alicia:</t>
        </r>
        <r>
          <rPr>
            <sz val="9"/>
            <color indexed="81"/>
            <rFont val="Tahoma"/>
            <family val="2"/>
          </rPr>
          <t xml:space="preserve">
@61% of full charge
</t>
        </r>
      </text>
    </comment>
    <comment ref="L50" authorId="0" shapeId="0" xr:uid="{1456C61A-57A1-4BC7-88E8-B4F04D36B6DB}">
      <text>
        <r>
          <rPr>
            <b/>
            <sz val="9"/>
            <color indexed="81"/>
            <rFont val="Tahoma"/>
            <family val="2"/>
          </rPr>
          <t>Li, Alicia:</t>
        </r>
        <r>
          <rPr>
            <sz val="9"/>
            <color indexed="81"/>
            <rFont val="Tahoma"/>
            <family val="2"/>
          </rPr>
          <t xml:space="preserve">
@61% of full charge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 Alicia</author>
  </authors>
  <commentList>
    <comment ref="J10" authorId="0" shapeId="0" xr:uid="{879405E3-76EF-4A87-A5AF-F58AA73B4621}">
      <text>
        <r>
          <rPr>
            <b/>
            <sz val="9"/>
            <color indexed="81"/>
            <rFont val="Tahoma"/>
            <family val="2"/>
          </rPr>
          <t>Li, Alicia:</t>
        </r>
        <r>
          <rPr>
            <sz val="9"/>
            <color indexed="81"/>
            <rFont val="Tahoma"/>
            <family val="2"/>
          </rPr>
          <t xml:space="preserve">
80% of full roads charge</t>
        </r>
      </text>
    </comment>
    <comment ref="L10" authorId="0" shapeId="0" xr:uid="{963B81C2-2C53-4BCA-B7E8-7214B2F447ED}">
      <text>
        <r>
          <rPr>
            <b/>
            <sz val="9"/>
            <color indexed="81"/>
            <rFont val="Tahoma"/>
            <family val="2"/>
          </rPr>
          <t>Li, Alicia:</t>
        </r>
        <r>
          <rPr>
            <sz val="9"/>
            <color indexed="81"/>
            <rFont val="Tahoma"/>
            <family val="2"/>
          </rPr>
          <t xml:space="preserve">
80% of full roads charge</t>
        </r>
      </text>
    </comment>
    <comment ref="J11" authorId="0" shapeId="0" xr:uid="{0C079E2F-6815-428B-A189-7CBB8FF33770}">
      <text>
        <r>
          <rPr>
            <b/>
            <sz val="9"/>
            <color indexed="81"/>
            <rFont val="Tahoma"/>
            <family val="2"/>
          </rPr>
          <t>Li, Alicia:</t>
        </r>
        <r>
          <rPr>
            <sz val="9"/>
            <color indexed="81"/>
            <rFont val="Tahoma"/>
            <family val="2"/>
          </rPr>
          <t xml:space="preserve">
80% of full roads charge</t>
        </r>
      </text>
    </comment>
    <comment ref="L11" authorId="0" shapeId="0" xr:uid="{C7B9653A-0703-454E-8D9C-694C9A73CBB5}">
      <text>
        <r>
          <rPr>
            <b/>
            <sz val="9"/>
            <color indexed="81"/>
            <rFont val="Tahoma"/>
            <family val="2"/>
          </rPr>
          <t>Li, Alicia:</t>
        </r>
        <r>
          <rPr>
            <sz val="9"/>
            <color indexed="81"/>
            <rFont val="Tahoma"/>
            <family val="2"/>
          </rPr>
          <t xml:space="preserve">
80% of full roads charge</t>
        </r>
      </text>
    </comment>
    <comment ref="J49" authorId="0" shapeId="0" xr:uid="{899A9A2E-0A2F-43F7-869F-E11705EE18B0}">
      <text>
        <r>
          <rPr>
            <b/>
            <sz val="9"/>
            <color indexed="81"/>
            <rFont val="Tahoma"/>
            <family val="2"/>
          </rPr>
          <t>Li, Alicia:</t>
        </r>
        <r>
          <rPr>
            <sz val="9"/>
            <color indexed="81"/>
            <rFont val="Tahoma"/>
            <family val="2"/>
          </rPr>
          <t xml:space="preserve">
@61% of full charge
</t>
        </r>
      </text>
    </comment>
    <comment ref="L49" authorId="0" shapeId="0" xr:uid="{7CB215E7-1F39-45F3-B7CF-96F270E2E126}">
      <text>
        <r>
          <rPr>
            <b/>
            <sz val="9"/>
            <color indexed="81"/>
            <rFont val="Tahoma"/>
            <family val="2"/>
          </rPr>
          <t>Li, Alicia:</t>
        </r>
        <r>
          <rPr>
            <sz val="9"/>
            <color indexed="81"/>
            <rFont val="Tahoma"/>
            <family val="2"/>
          </rPr>
          <t xml:space="preserve">
@61% of full charge
</t>
        </r>
      </text>
    </comment>
    <comment ref="J50" authorId="0" shapeId="0" xr:uid="{BBB05ACC-4400-4D4C-9D4C-C5A137A322C6}">
      <text>
        <r>
          <rPr>
            <b/>
            <sz val="9"/>
            <color indexed="81"/>
            <rFont val="Tahoma"/>
            <family val="2"/>
          </rPr>
          <t>Li, Alicia:</t>
        </r>
        <r>
          <rPr>
            <sz val="9"/>
            <color indexed="81"/>
            <rFont val="Tahoma"/>
            <family val="2"/>
          </rPr>
          <t xml:space="preserve">
@61% of full charge
</t>
        </r>
      </text>
    </comment>
    <comment ref="L50" authorId="0" shapeId="0" xr:uid="{C7938289-98B8-485C-A3AC-D663ED17DF34}">
      <text>
        <r>
          <rPr>
            <b/>
            <sz val="9"/>
            <color indexed="81"/>
            <rFont val="Tahoma"/>
            <family val="2"/>
          </rPr>
          <t>Li, Alicia:</t>
        </r>
        <r>
          <rPr>
            <sz val="9"/>
            <color indexed="81"/>
            <rFont val="Tahoma"/>
            <family val="2"/>
          </rPr>
          <t xml:space="preserve">
@61% of full charge
</t>
        </r>
      </text>
    </comment>
  </commentList>
</comments>
</file>

<file path=xl/sharedStrings.xml><?xml version="1.0" encoding="utf-8"?>
<sst xmlns="http://schemas.openxmlformats.org/spreadsheetml/2006/main" count="1591" uniqueCount="547">
  <si>
    <t>DC Charges</t>
  </si>
  <si>
    <t>Rate</t>
  </si>
  <si>
    <t>Industrial - Expansion 50% Exemption</t>
  </si>
  <si>
    <t>Industrial - Expansion over 50%</t>
  </si>
  <si>
    <t>Commercial - New 1st 5000 sq ft</t>
  </si>
  <si>
    <t>Commercial - New 2nd 5000 sq ft</t>
  </si>
  <si>
    <t>Commercial - New over 10K sq ft</t>
  </si>
  <si>
    <t>Commercial - 5000 sq ft Expansion Exemption</t>
  </si>
  <si>
    <t>Commercial - Expansion over 5000 sq ft</t>
  </si>
  <si>
    <t>Student Residence</t>
  </si>
  <si>
    <t>CIPA</t>
  </si>
  <si>
    <t>Transition</t>
  </si>
  <si>
    <t>Intensification</t>
  </si>
  <si>
    <t>Downtown Public Art</t>
  </si>
  <si>
    <t>Place of Worship</t>
  </si>
  <si>
    <t>Council Granted</t>
  </si>
  <si>
    <t>Notes:</t>
  </si>
  <si>
    <t>Address:</t>
  </si>
  <si>
    <t>R</t>
  </si>
  <si>
    <t>Heritage</t>
  </si>
  <si>
    <t xml:space="preserve"> </t>
  </si>
  <si>
    <t>Residential ($)</t>
  </si>
  <si>
    <t>(per Sq. Ft.)</t>
  </si>
  <si>
    <t>Service Component</t>
  </si>
  <si>
    <t>Other Development Charges</t>
  </si>
  <si>
    <t>Go Transit (City-Wide)</t>
  </si>
  <si>
    <t>Education - HWDSB (Public)</t>
  </si>
  <si>
    <t>Education - HWCDSB (Catholic)</t>
  </si>
  <si>
    <t>Special Area Charges</t>
  </si>
  <si>
    <t>Dundas/Waterdown</t>
  </si>
  <si>
    <t xml:space="preserve">Industrial ($)
</t>
  </si>
  <si>
    <t>Commercial ($)</t>
  </si>
  <si>
    <t>DC Exemptions</t>
  </si>
  <si>
    <t>SERVICE COMPONENT BREAKDOWN - July 6, 2019 - July 5, 2020</t>
  </si>
  <si>
    <t>CIPA exemption for Major Office Developments (Class A - greater than 20,000 sq. ft. GFA) remains at 70%</t>
  </si>
  <si>
    <t>Services Related to a Highway</t>
  </si>
  <si>
    <t>Police Services</t>
  </si>
  <si>
    <t>Fire Protection Services</t>
  </si>
  <si>
    <t>Transit Services</t>
  </si>
  <si>
    <t>Parkland Development</t>
  </si>
  <si>
    <t>Recreation Facilities</t>
  </si>
  <si>
    <t>Library Services</t>
  </si>
  <si>
    <t>Administrative Studies</t>
  </si>
  <si>
    <t>Ambulance Services</t>
  </si>
  <si>
    <t>Long Term Care</t>
  </si>
  <si>
    <t>Health Services</t>
  </si>
  <si>
    <t>Social &amp; Child Services</t>
  </si>
  <si>
    <t>Social Housing</t>
  </si>
  <si>
    <t>Airport Services</t>
  </si>
  <si>
    <t>Parking Services</t>
  </si>
  <si>
    <t>Public Works Facilities, Fleet &amp; Equipment</t>
  </si>
  <si>
    <t>Waste Diversion</t>
  </si>
  <si>
    <t>Provincial Offences Administration</t>
  </si>
  <si>
    <t>Water Services</t>
  </si>
  <si>
    <t>Wastewater Facilities</t>
  </si>
  <si>
    <t>Wastewater Linear Services</t>
  </si>
  <si>
    <t>Total Municipal Wide Charges</t>
  </si>
  <si>
    <t>Total Urban Area Charges - Combined Sewer System</t>
  </si>
  <si>
    <t>Total Urban Area Charges - Separated Sewer System</t>
  </si>
  <si>
    <t>Stormwater Drainage &amp; Control Services (Combined Sewer System)</t>
  </si>
  <si>
    <t>Stormwater Drainage &amp; Control Services (Separated Sewer System)</t>
  </si>
  <si>
    <t>Residential Intensification</t>
  </si>
  <si>
    <t>Fully Exempt:</t>
  </si>
  <si>
    <t>Partially Exempt:</t>
  </si>
  <si>
    <t>City of Hamilton</t>
  </si>
  <si>
    <t>Board of Education</t>
  </si>
  <si>
    <t>Local Board</t>
  </si>
  <si>
    <t>Parking Structures (excludes commercial parking)</t>
  </si>
  <si>
    <t>Other Exemptions (per DC By-law)</t>
  </si>
  <si>
    <t>Statutory Exemptions (per DC Act)</t>
  </si>
  <si>
    <t>Place of worship</t>
  </si>
  <si>
    <t>Laneway House</t>
  </si>
  <si>
    <t>Temporary Building or Stucture</t>
  </si>
  <si>
    <t>Downtown CIPA - 60% (other development)</t>
  </si>
  <si>
    <t xml:space="preserve">Downtown Public Art </t>
  </si>
  <si>
    <t>Redevelopment for Residential Facility</t>
  </si>
  <si>
    <t>Academic - Post Secondary/Non-profit Elementary/Secondary</t>
  </si>
  <si>
    <t>Heritage Building</t>
  </si>
  <si>
    <t>Non-Residential (s)</t>
  </si>
  <si>
    <t>NA</t>
  </si>
  <si>
    <t>Rural Area</t>
  </si>
  <si>
    <t>Urban Area</t>
  </si>
  <si>
    <t>[1]</t>
  </si>
  <si>
    <t>[2]</t>
  </si>
  <si>
    <t>[3]</t>
  </si>
  <si>
    <t>[4]</t>
  </si>
  <si>
    <t>[5]</t>
  </si>
  <si>
    <t>Note [1]</t>
  </si>
  <si>
    <t>Note [2]</t>
  </si>
  <si>
    <t>Note [3]</t>
  </si>
  <si>
    <t>Note [4]</t>
  </si>
  <si>
    <t>Note [5]</t>
  </si>
  <si>
    <t>Maintain current exemption for Downtown Public Art Reserve Voluntary Contributions is maintained, with an annual limit of $250,000 on the contributions that will be accepted by the City under this program.</t>
  </si>
  <si>
    <t>Maintain current exemption for Student Residences until June 30, 2020.</t>
  </si>
  <si>
    <t>Only exempt Crown agent with proof of documentation</t>
  </si>
  <si>
    <t>Industrial - New</t>
  </si>
  <si>
    <t>Services Related to a Highway (Combined Sewer System calculated rate)</t>
  </si>
  <si>
    <t>Services Related to a Highway (Separated Sewer System calculated rate)</t>
  </si>
  <si>
    <t>Townhouses &amp; Other Multiple Unit Dwellings</t>
  </si>
  <si>
    <t>Single-Detached Dwelling &amp; Semi-Detached Dwelling</t>
  </si>
  <si>
    <t>Residential Facility Dwelling &amp; Lodging House &amp; Garden Suite</t>
  </si>
  <si>
    <t>Apartments &amp; Stacked Townhouses &amp; Mobile Homes 2-Bedrooms +</t>
  </si>
  <si>
    <t>Apartments &amp; Stacked Townhouses &amp; Mobile Homes Bachelor and 1 Bedroom</t>
  </si>
  <si>
    <t>(per dwelling unit)</t>
  </si>
  <si>
    <t>(per bedroom)</t>
  </si>
  <si>
    <t>Agricultural use</t>
  </si>
  <si>
    <t>Exempt for the development within the existing building evelope that are impacted by the Heritage designation</t>
  </si>
  <si>
    <t>non-industrial stepped rates</t>
  </si>
  <si>
    <t>non-industrial expansion</t>
  </si>
  <si>
    <t>expanded 50% industrial expansion interpretation</t>
  </si>
  <si>
    <t>50% Industrial Expansion (attached building)</t>
  </si>
  <si>
    <t xml:space="preserve">industrial </t>
  </si>
  <si>
    <t>vs</t>
  </si>
  <si>
    <t>non-industrial</t>
  </si>
  <si>
    <t>Mixed use - flow through each use</t>
  </si>
  <si>
    <t>location</t>
  </si>
  <si>
    <t>Downtown CIPA?</t>
  </si>
  <si>
    <t>Arrive at applicable rate</t>
  </si>
  <si>
    <t>Other CIPA/BIA?</t>
  </si>
  <si>
    <t>what?</t>
  </si>
  <si>
    <t>office</t>
  </si>
  <si>
    <t>commercial parking</t>
  </si>
  <si>
    <t>artists studio</t>
  </si>
  <si>
    <t>film studio</t>
  </si>
  <si>
    <t>agriculture</t>
  </si>
  <si>
    <t>place of worship</t>
  </si>
  <si>
    <t>bedrooms</t>
  </si>
  <si>
    <t>need to work into residential:</t>
  </si>
  <si>
    <t>should add how to deal with common/shared space</t>
  </si>
  <si>
    <t>laneway</t>
  </si>
  <si>
    <t>student residence</t>
  </si>
  <si>
    <t>COH, BOE, Local Board</t>
  </si>
  <si>
    <t>new vs expansion</t>
  </si>
  <si>
    <t>attached vs detached</t>
  </si>
  <si>
    <t>Agent of the crown</t>
  </si>
  <si>
    <t>Dun/Wat?</t>
  </si>
  <si>
    <t>Heritage?</t>
  </si>
  <si>
    <t>separate trees for charge versus credit?</t>
  </si>
  <si>
    <t>If expansion - is the lot the same as it was on July 16, 2018?</t>
  </si>
  <si>
    <t>If CIPA, is CIPA exemption or other exmptions more beneficial?</t>
  </si>
  <si>
    <t>If CIPA, are they allocating to Public Art?</t>
  </si>
  <si>
    <t>intensification</t>
  </si>
  <si>
    <t>If CIPA, what height was in approved secondary plan? What height are they proposing?</t>
  </si>
  <si>
    <t>probably need to deal with them together / side by side</t>
  </si>
  <si>
    <t>redevelopment for facility/lodging house</t>
  </si>
  <si>
    <t xml:space="preserve">demolitions - </t>
  </si>
  <si>
    <t>demo permit</t>
  </si>
  <si>
    <t>date</t>
  </si>
  <si>
    <t>extended?</t>
  </si>
  <si>
    <t xml:space="preserve">General - </t>
  </si>
  <si>
    <t>permit, address, date of application, date of estimate, date that estimate expires</t>
  </si>
  <si>
    <t>Transistion policy applicable?</t>
  </si>
  <si>
    <t>should work in exemption detail with the calc</t>
  </si>
  <si>
    <t>Combined Sewer System</t>
  </si>
  <si>
    <t>Separated Sewer System</t>
  </si>
  <si>
    <t>Rural Area with water</t>
  </si>
  <si>
    <t>Rural Area with water and waste water</t>
  </si>
  <si>
    <t>Grand City Total Combined Sewer System (Urban Area &amp; Municipal Wide) before Special Area Charges</t>
  </si>
  <si>
    <t>Grand City Total Separated Sewer System (Urban Area &amp; Municipal Wide) before Special Area Charges</t>
  </si>
  <si>
    <t>https://spatialsolutions.maps.arcgis.com/apps/webappviewer/index.html?id=ae2d0e2636ee48db825cc9454cf745de</t>
  </si>
  <si>
    <t>separated vs combined vs rural (same decisions under each)</t>
  </si>
  <si>
    <t>Class A office (&gt;20,000 sq. ft)?</t>
  </si>
  <si>
    <t>If allocating to public Art, how much room is available for the annual cap of $250,000? Can we accept?</t>
  </si>
  <si>
    <t>http://spatialsolutions.maps.arcgis.com/apps/webappviewer/index.html?id=ef361312714b4caa863016bba9e6e68f</t>
  </si>
  <si>
    <t>http://www.mtc.gov.on.ca/en/heritage/heritage_designation.shtml</t>
  </si>
  <si>
    <t>Designated Heritage Properties:</t>
  </si>
  <si>
    <t>Dun/Wat Map</t>
  </si>
  <si>
    <t>Urban/Rural Area Map</t>
  </si>
  <si>
    <t>https://spatialsolutions.maps.arcgis.com/apps/webappviewer/index.html?id=a8f1efc3c3e14823bfb937c6691f4a8f</t>
  </si>
  <si>
    <t xml:space="preserve">-For EDC, a 50% of GFA for common/shared space is used for calculation regardless of the actual split </t>
  </si>
  <si>
    <t>-For city wide DC, actual percentage use of common/shared space is applied for calculation</t>
  </si>
  <si>
    <t>Combined/Separated Area Map</t>
  </si>
  <si>
    <t>..\Bylaws\2019 Bylaw\Draft By-law\x. Schedule D.docx</t>
  </si>
  <si>
    <t>CIPA Height Map</t>
  </si>
  <si>
    <t>..\Bylaws\2019 Bylaw\Draft By-law\x. Schedule F.docx</t>
  </si>
  <si>
    <t>..\Bylaws\2019 Bylaw\Draft By-law\x. Schedule G.docx</t>
  </si>
  <si>
    <t>CIPAs/BIAs</t>
  </si>
  <si>
    <t>..\Bylaws\2019 Bylaw\Draft By-law\x. Schedule H.docx</t>
  </si>
  <si>
    <t>(fully exempt)</t>
  </si>
  <si>
    <t>Residential</t>
  </si>
  <si>
    <t>Non-Residential</t>
  </si>
  <si>
    <t>live/work unit</t>
  </si>
  <si>
    <t>temporary building/structure</t>
  </si>
  <si>
    <t>References to be worked into template…</t>
  </si>
  <si>
    <t>Downtown CIPA</t>
  </si>
  <si>
    <t>Dwelling type</t>
  </si>
  <si>
    <t>(partially exempt/DC is payable</t>
  </si>
  <si>
    <t>or was a demo Heritage? Or adaptive reuse?</t>
  </si>
  <si>
    <t>production studio</t>
  </si>
  <si>
    <t>C</t>
  </si>
  <si>
    <t>I</t>
  </si>
  <si>
    <t>E</t>
  </si>
  <si>
    <t>commercial use charged industrial rate</t>
  </si>
  <si>
    <t>academic</t>
  </si>
  <si>
    <t>public hospital</t>
  </si>
  <si>
    <t>commercial greenhouse (not an agricultural use)</t>
  </si>
  <si>
    <t>CIPA, BIAs</t>
  </si>
  <si>
    <t>urban/rural</t>
  </si>
  <si>
    <t>combined / separated</t>
  </si>
  <si>
    <t>https://spatialsolutions.maps.arcgis.com/apps/webappviewer/index.html?id=ba1abd138dec42e9bb5e3b48d2139aa4</t>
  </si>
  <si>
    <t>turn off all layers and add only the sewer layer - combined sewer catchment</t>
  </si>
  <si>
    <t>also need to identify any rural properties that have access to services (w/ww)</t>
  </si>
  <si>
    <t>is there a layer that shows to downtown secondary plan?</t>
  </si>
  <si>
    <t>is there a layer that shows heritage buildings</t>
  </si>
  <si>
    <t>dundas or waterdown - may need it created</t>
  </si>
  <si>
    <t>laneways</t>
  </si>
  <si>
    <t>DC Purpose</t>
  </si>
  <si>
    <t>GIS Database Name</t>
  </si>
  <si>
    <t>GIS Layer Name</t>
  </si>
  <si>
    <t>CIPA Height</t>
  </si>
  <si>
    <t>Notes</t>
  </si>
  <si>
    <t>Building Division Lookup</t>
  </si>
  <si>
    <t>City-Owned Properties</t>
  </si>
  <si>
    <t>Alleyways/Laneways</t>
  </si>
  <si>
    <t>Heritage Properties</t>
  </si>
  <si>
    <t>BIAs</t>
  </si>
  <si>
    <t>CIPAs</t>
  </si>
  <si>
    <t>Urban/Rural</t>
  </si>
  <si>
    <t>Combined/Separate Storm</t>
  </si>
  <si>
    <t>Dun/Wat SAC</t>
  </si>
  <si>
    <t>Places of Worship</t>
  </si>
  <si>
    <t>Agricultural Use</t>
  </si>
  <si>
    <t>Residential Care Facilities</t>
  </si>
  <si>
    <t>Long Term Care Facilities</t>
  </si>
  <si>
    <t>City Properties</t>
  </si>
  <si>
    <t>City Alleys</t>
  </si>
  <si>
    <t>Alleys Centreline</t>
  </si>
  <si>
    <t>Urban Boundary</t>
  </si>
  <si>
    <t>Educational Institutions</t>
  </si>
  <si>
    <t>Hospitals</t>
  </si>
  <si>
    <t>Development Engineering</t>
  </si>
  <si>
    <t>Water and Wastewater Systems Planning</t>
  </si>
  <si>
    <t>Storm Combined Sewer Catchment Areas</t>
  </si>
  <si>
    <t>To be mapped</t>
  </si>
  <si>
    <t>BIA Boundaries</t>
  </si>
  <si>
    <t>Property Lookup</t>
  </si>
  <si>
    <t>Hamilton CIPAs</t>
  </si>
  <si>
    <t>Public Properties</t>
  </si>
  <si>
    <t>Publicly-Owned Land</t>
  </si>
  <si>
    <t>Cultural Heritage Resources</t>
  </si>
  <si>
    <t>Internal/External</t>
  </si>
  <si>
    <t>Internal</t>
  </si>
  <si>
    <t>External</t>
  </si>
  <si>
    <t>Designated Properties</t>
  </si>
  <si>
    <t>Inventory of Places of Worship</t>
  </si>
  <si>
    <t>Confirm timeliness of updates</t>
  </si>
  <si>
    <t>Land Use by Category</t>
  </si>
  <si>
    <t>Helpful in narrowing down "use"</t>
  </si>
  <si>
    <t>Downtowns, BIAs &amp; CIPAs</t>
  </si>
  <si>
    <t>GIS Layers for Development Charge View</t>
  </si>
  <si>
    <t>ON</t>
  </si>
  <si>
    <t>OFF</t>
  </si>
  <si>
    <t>Ward Boundary</t>
  </si>
  <si>
    <t>Downtown Urban Growth Centre</t>
  </si>
  <si>
    <t>Why</t>
  </si>
  <si>
    <t>Location determines Rate</t>
  </si>
  <si>
    <t>Location determines exemption</t>
  </si>
  <si>
    <t>Determines cap on exemption</t>
  </si>
  <si>
    <t>General info- likely exempt</t>
  </si>
  <si>
    <t>General info</t>
  </si>
  <si>
    <t>Exemption Review</t>
  </si>
  <si>
    <t>Exemption Review
Redevelopment Review</t>
  </si>
  <si>
    <t>Redevelopment Review</t>
  </si>
  <si>
    <t>Default</t>
  </si>
  <si>
    <t>Parcels</t>
  </si>
  <si>
    <t>Parcels - Ownership (highlevel), Ownership, Assessment</t>
  </si>
  <si>
    <t>General info
Exemption Review</t>
  </si>
  <si>
    <t>Rural Servicing</t>
  </si>
  <si>
    <t>Water Main Network</t>
  </si>
  <si>
    <t>Sewer Main Network</t>
  </si>
  <si>
    <t>Rural Servicing determines rate</t>
  </si>
  <si>
    <t>Location determines non-res exemption</t>
  </si>
  <si>
    <t>General info
Redevelopment Review</t>
  </si>
  <si>
    <t>General info
EDC Exemption Review</t>
  </si>
  <si>
    <t>Development Applications</t>
  </si>
  <si>
    <t>Need to add height limitations for development blocks based on initial secondary plan</t>
  </si>
  <si>
    <t>Heritage Properties Work Plan</t>
  </si>
  <si>
    <t>Heritage Properties to be reviewed for heritage significance</t>
  </si>
  <si>
    <t>Heritage Properties Inventoried</t>
  </si>
  <si>
    <t>Heritage Properties Registered</t>
  </si>
  <si>
    <t>Heritage Properties already reviewed - trigger for finance to confirm designation is not imminent</t>
  </si>
  <si>
    <t>Heritage Properties already reviewed for significance and currently deemed not to have heritage features</t>
  </si>
  <si>
    <t>We will need layer data similar to how Heritage has it organized to indicate Part IV designation and Part II and Part IV easements, Part V data currently included is helpful but will need to be distinct from part IV designations</t>
  </si>
  <si>
    <t>Type</t>
  </si>
  <si>
    <t>Industrial</t>
  </si>
  <si>
    <t>Mixed Use</t>
  </si>
  <si>
    <t>Non-Industrial</t>
  </si>
  <si>
    <t>Location</t>
  </si>
  <si>
    <t>Laneway Housing</t>
  </si>
  <si>
    <t>#</t>
  </si>
  <si>
    <t>Net Due</t>
  </si>
  <si>
    <t>Parkland Dedication</t>
  </si>
  <si>
    <t>Add:</t>
  </si>
  <si>
    <t>Deferral Agreement #</t>
  </si>
  <si>
    <r>
      <t>Less:</t>
    </r>
    <r>
      <rPr>
        <i/>
        <sz val="11"/>
        <color indexed="8"/>
        <rFont val="Calibri"/>
        <family val="2"/>
      </rPr>
      <t xml:space="preserve"> </t>
    </r>
    <r>
      <rPr>
        <i/>
        <sz val="9"/>
        <color indexed="8"/>
        <rFont val="Calibri"/>
        <family val="2"/>
      </rPr>
      <t>(Enter as negative)</t>
    </r>
  </si>
  <si>
    <t>Total</t>
  </si>
  <si>
    <t>Public</t>
  </si>
  <si>
    <t>Catholic</t>
  </si>
  <si>
    <t>GO</t>
  </si>
  <si>
    <t>City</t>
  </si>
  <si>
    <t>NET</t>
  </si>
  <si>
    <t>DC Demolition Credits</t>
  </si>
  <si>
    <t>TOTAL SUMMARY</t>
  </si>
  <si>
    <t xml:space="preserve">Notes: </t>
  </si>
  <si>
    <t>&gt; 50% existing</t>
  </si>
  <si>
    <t>up to 50% existing</t>
  </si>
  <si>
    <t>Square Feet</t>
  </si>
  <si>
    <t>INDUSTRIAL - EXPANSION</t>
  </si>
  <si>
    <t>5,000 +</t>
  </si>
  <si>
    <t>1st 5,000</t>
  </si>
  <si>
    <t>NON - INDUSTRIAL - EXPANSION</t>
  </si>
  <si>
    <t>&gt; 10,000</t>
  </si>
  <si>
    <t>&lt; 10,000</t>
  </si>
  <si>
    <t>INDUSTRIAL - NEW</t>
  </si>
  <si>
    <t>10,000 +</t>
  </si>
  <si>
    <t>2nd 5,000</t>
  </si>
  <si>
    <t>NON-INDUSTRIAL - NEW</t>
  </si>
  <si>
    <r>
      <t xml:space="preserve">Note: </t>
    </r>
    <r>
      <rPr>
        <i/>
        <sz val="9"/>
        <color indexed="8"/>
        <rFont val="Calibri"/>
        <family val="2"/>
      </rPr>
      <t>Please make a note if the rate used has been changed from the standard full rate or any other relevant info.</t>
    </r>
  </si>
  <si>
    <t>Residential Facility</t>
  </si>
  <si>
    <t>Apartment - 1 Bdrm</t>
  </si>
  <si>
    <t xml:space="preserve">Apartment - 2 + Bdrm </t>
  </si>
  <si>
    <t>Town/Multi</t>
  </si>
  <si>
    <t>Single/Semi</t>
  </si>
  <si>
    <t>Unit Type</t>
  </si>
  <si>
    <t>RESIDENTIAL</t>
  </si>
  <si>
    <t>Permit #</t>
  </si>
  <si>
    <t>Use the 'group' buttons to hide sections that are not relevant before printing</t>
  </si>
  <si>
    <t>Use a new form for each calculation to avoid risk of error. (i.e. do not edit a previously updated copy)</t>
  </si>
  <si>
    <t>Blue text are formulas. If you need to overwrite any of these please change the text to red.</t>
  </si>
  <si>
    <t>Fill in the areas shaded light grey. If any other area need to be edited please leave detailed notes.</t>
  </si>
  <si>
    <t>Use this form to assist in calculating the amount of Development Charges owed for a permit.</t>
  </si>
  <si>
    <t>Instructions:</t>
  </si>
  <si>
    <t>July 6, 2013 - July 5, 2014 Rates</t>
  </si>
  <si>
    <t>Estimate of Development Charges</t>
  </si>
  <si>
    <t>CITY OF HAMILTON</t>
  </si>
  <si>
    <t>EDC - Public</t>
  </si>
  <si>
    <t>EDC - Catholic</t>
  </si>
  <si>
    <t>City DC</t>
  </si>
  <si>
    <t>Rates - EXPANSION Industrial</t>
  </si>
  <si>
    <t>Rates - EXPANSION Non-Industrial</t>
  </si>
  <si>
    <t>Rates - NEW Industrial</t>
  </si>
  <si>
    <t>Rates - NEW Non-Industrial</t>
  </si>
  <si>
    <t>1 Bdrm</t>
  </si>
  <si>
    <t>2 + Bdrm</t>
  </si>
  <si>
    <t>Town</t>
  </si>
  <si>
    <t>Single</t>
  </si>
  <si>
    <t>Rates - Residential</t>
  </si>
  <si>
    <t>Non-Industrial - New</t>
  </si>
  <si>
    <t>Industrial - Expansion</t>
  </si>
  <si>
    <t>Non-Industrial New - 2nd 5,000 sq. ft.</t>
  </si>
  <si>
    <t>Non-Industrial New - 1st 5,000 sq. ft.</t>
  </si>
  <si>
    <t>Non-Industrial - Expansion</t>
  </si>
  <si>
    <t>Apartments, Stacked Towns, Mobile, 2+ BR</t>
  </si>
  <si>
    <t>Residential Facility, Lodging House, Garden Suite</t>
  </si>
  <si>
    <t>Development Type</t>
  </si>
  <si>
    <t>CIPA Table</t>
  </si>
  <si>
    <t>Exemption</t>
  </si>
  <si>
    <t>Payable</t>
  </si>
  <si>
    <t>Date From</t>
  </si>
  <si>
    <t>Date To</t>
  </si>
  <si>
    <t>Student Residence Cut Off</t>
  </si>
  <si>
    <t>Agriculture (Farm Bus. Reg. # Required)</t>
  </si>
  <si>
    <t>Garden Suite</t>
  </si>
  <si>
    <t>Industrial Expansion - 50%*</t>
  </si>
  <si>
    <t>Redev Residential Facility - 50%</t>
  </si>
  <si>
    <t>CITY DC Indexing Factor</t>
  </si>
  <si>
    <t>GO Indexing Factor</t>
  </si>
  <si>
    <t>OPA Indexing Factor</t>
  </si>
  <si>
    <t>SERVICE COMPONENT BREAKDOWN - July 6, 2018 - July 5, 2019</t>
  </si>
  <si>
    <r>
      <t xml:space="preserve">Non-Residential ($)
</t>
    </r>
    <r>
      <rPr>
        <sz val="11"/>
        <color indexed="8"/>
        <rFont val="Arial"/>
        <family val="2"/>
      </rPr>
      <t>(note a)</t>
    </r>
  </si>
  <si>
    <t>Apartments          2-Bedrooms +</t>
  </si>
  <si>
    <t>Apartments  Bachelor &amp;            1-Bedroom</t>
  </si>
  <si>
    <t>Residential Facility Dwelling</t>
  </si>
  <si>
    <t>New Industrial &lt; 10,000 sf</t>
  </si>
  <si>
    <t>(per Unit)</t>
  </si>
  <si>
    <t>(per Bedroom)</t>
  </si>
  <si>
    <t>(per Sq. m.)</t>
  </si>
  <si>
    <t>Jul 6, 2018</t>
  </si>
  <si>
    <r>
      <t>Urban Area Charges</t>
    </r>
    <r>
      <rPr>
        <b/>
        <sz val="11"/>
        <color indexed="8"/>
        <rFont val="Arial"/>
        <family val="2"/>
      </rPr>
      <t xml:space="preserve"> </t>
    </r>
    <r>
      <rPr>
        <sz val="11"/>
        <color indexed="8"/>
        <rFont val="Arial"/>
        <family val="2"/>
      </rPr>
      <t>(note b)</t>
    </r>
  </si>
  <si>
    <t>Water Service</t>
  </si>
  <si>
    <t>Stormwater Drainage and Control Services</t>
  </si>
  <si>
    <t>Total Urban Area Charges</t>
  </si>
  <si>
    <t>Municipal Wide Charges</t>
  </si>
  <si>
    <t>Public Works</t>
  </si>
  <si>
    <t>Provincial Offences Act</t>
  </si>
  <si>
    <t>Hamilton Conservation Authority</t>
  </si>
  <si>
    <t>City Total (Urban Area &amp; Municipal Wide)</t>
  </si>
  <si>
    <t>GO Transit (City-Wide)</t>
  </si>
  <si>
    <t>Education - HWDSB (Public - note c)</t>
  </si>
  <si>
    <t>Education - HWCDSB (Catholic - note c)</t>
  </si>
  <si>
    <t>Grand Total (before Special Area Charges)</t>
  </si>
  <si>
    <t>commercial</t>
  </si>
  <si>
    <t>Binbrook (note d)</t>
  </si>
  <si>
    <t>Dundas/Waterdown  (note e)</t>
  </si>
  <si>
    <t>Grand Total Binbrook</t>
  </si>
  <si>
    <t>Grand Total Dundas/Waterdown</t>
  </si>
  <si>
    <t>Stormwater Management Pond Credit
(note f)</t>
  </si>
  <si>
    <t>SWM Pond Credit Factor</t>
  </si>
  <si>
    <t>(Full calculated in 2014 Study)</t>
  </si>
  <si>
    <t>(Credit Calculated in 2014 Study)</t>
  </si>
  <si>
    <t>From CN Watson</t>
  </si>
  <si>
    <t>Stormwater Management Pond Credit</t>
  </si>
  <si>
    <t>Quantity Credit</t>
  </si>
  <si>
    <t>Quality Credit</t>
  </si>
  <si>
    <t>Full SWM Pond Credit</t>
  </si>
  <si>
    <t xml:space="preserve">OPA 28 - 11/12 rate 1,237 </t>
  </si>
  <si>
    <t>Note: Appears amount Adam provided for 14/15 was missing one year of indexing (the 2.23% year)</t>
  </si>
  <si>
    <t>Office Expansion - 1st 5,000 sq. ft.</t>
  </si>
  <si>
    <t>Administrative Studies - Community Based Studies</t>
  </si>
  <si>
    <t>Adminstrative Studies - Engineering Services Studies</t>
  </si>
  <si>
    <t>$6.44 or $5.59</t>
  </si>
  <si>
    <t>Single-Detached &amp; Semi-Detached</t>
  </si>
  <si>
    <t>Apartments, Stacked Towns, Mobile, Bachelor, 1 BR</t>
  </si>
  <si>
    <t>Combined Exemptions</t>
  </si>
  <si>
    <t>Statutory Exemptions</t>
  </si>
  <si>
    <t>Type of Development</t>
  </si>
  <si>
    <t>Intensification_Single-Detached &amp; Semi-Detached</t>
  </si>
  <si>
    <t>Intensification_Apartments, Stacked Towns, Mobile, 2+ BR</t>
  </si>
  <si>
    <t>Intensification_Apartments, Stacked Towns, Mobile, Bachelor, 1 BR</t>
  </si>
  <si>
    <t>Intensification_Townhouses &amp; Other Multiple Unit Dwellings</t>
  </si>
  <si>
    <t>Intensification_Residential Facility, Lodging House, Garden Suite</t>
  </si>
  <si>
    <t>Industrial Expansion - 50%*_Industrial - Expansion</t>
  </si>
  <si>
    <t>Redev Residential Facility - 50%_Residential Facility, Lodging House, Garden Suite</t>
  </si>
  <si>
    <t>Student Residence_Single-Detached &amp; Semi-Detached</t>
  </si>
  <si>
    <t>Student Residence_Apartments, Stacked Towns, Mobile, 2+ BR</t>
  </si>
  <si>
    <t>Student Residence_Apartments, Stacked Towns, Mobile, Bachelor, 1 BR</t>
  </si>
  <si>
    <t>Student Residence_Townhouses &amp; Other Multiple Unit Dwellings</t>
  </si>
  <si>
    <t>Student Residence_Residential Facility, Lodging House, Garden Suite</t>
  </si>
  <si>
    <t>Industrial Expansion - 50%</t>
  </si>
  <si>
    <t>Manual Discretionary Exemptions</t>
  </si>
  <si>
    <t>CITY DCs</t>
  </si>
  <si>
    <t>GO TRANSIT</t>
  </si>
  <si>
    <t>PUBLIC EDC</t>
  </si>
  <si>
    <t>CATHOLIC EDC</t>
  </si>
  <si>
    <t>DUN/WAT SAC</t>
  </si>
  <si>
    <t>SERVICE COMPONENT BREAKDOWN - July 6, 2019 - December 31, 2019</t>
  </si>
  <si>
    <t>SERVICE COMPONENT BREAKDOWN EFFECTIVE July 6, 2019</t>
  </si>
  <si>
    <r>
      <t xml:space="preserve">Non-Residential ($)
</t>
    </r>
    <r>
      <rPr>
        <sz val="12"/>
        <color indexed="8"/>
        <rFont val="Arial"/>
        <family val="2"/>
      </rPr>
      <t>(note a)</t>
    </r>
  </si>
  <si>
    <t>Apartments &amp; Stacked Townhouses &amp; Mobile Homes; 
2-Bedrooms +</t>
  </si>
  <si>
    <t>Apartments &amp; Stacked Townhouses &amp; Mobile Homes; 
Bachelor and 1 Bedroom</t>
  </si>
  <si>
    <t>Industrial ($)
Rural Area</t>
  </si>
  <si>
    <t>(per Sq. M.)</t>
  </si>
  <si>
    <t>Services Related to a Highway:</t>
  </si>
  <si>
    <t>Combined Sewer System calculated rate)</t>
  </si>
  <si>
    <t>Separated Sewer System calculated rate)</t>
  </si>
  <si>
    <r>
      <t xml:space="preserve">Wastewater and Water Services </t>
    </r>
    <r>
      <rPr>
        <sz val="12"/>
        <color indexed="8"/>
        <rFont val="Arial"/>
        <family val="2"/>
      </rPr>
      <t>(note b)</t>
    </r>
  </si>
  <si>
    <r>
      <t>Stormwater Drainage and Control Services</t>
    </r>
    <r>
      <rPr>
        <sz val="12"/>
        <color indexed="8"/>
        <rFont val="Arial"/>
        <family val="2"/>
      </rPr>
      <t xml:space="preserve"> (note c)</t>
    </r>
  </si>
  <si>
    <t xml:space="preserve">Stormwater Services - Combined Sewer System </t>
  </si>
  <si>
    <t xml:space="preserve">Stormwater Services - Separated Sewer System </t>
  </si>
  <si>
    <t>City Total (Municipal Wide &amp; Urban Area) -
Combined Sewer System</t>
  </si>
  <si>
    <t>City Total (Municipal Wide &amp; Urban Area) -
Separated Sewer System</t>
  </si>
  <si>
    <t>Education - HWDSB (Public - note d)</t>
  </si>
  <si>
    <t>Education - HWCDSB (Catholic - note d)</t>
  </si>
  <si>
    <t>Total Before Special Area Charges (Municipal Wide &amp; Urban Area) - Combined Sewer System</t>
  </si>
  <si>
    <t>Total Before Speical Area charges (Municipal Wide &amp; Urban Area) - Separated Sewer System</t>
  </si>
  <si>
    <t>at 50% of full rate</t>
  </si>
  <si>
    <t>at 75% of full rate</t>
  </si>
  <si>
    <t>at full rate</t>
  </si>
  <si>
    <t>Dundas/Waterdown (note e)</t>
  </si>
  <si>
    <t>Grand Total (Municipal Wide &amp; Urban Area) - 
Combined Sewer System</t>
  </si>
  <si>
    <t>Grand Total (Municipal Wide &amp; Urban Area) - 
Separated Sewer System</t>
  </si>
  <si>
    <t xml:space="preserve">Stormwater Management Pond Credit </t>
  </si>
  <si>
    <t>50% Industrial Expansion</t>
  </si>
  <si>
    <t>Exempt for the development within the existing building evelope except for sections that are not covered by the Heritage designation</t>
  </si>
  <si>
    <t>Public EDC</t>
  </si>
  <si>
    <t>Catholic EDC</t>
  </si>
  <si>
    <t>SAC</t>
  </si>
  <si>
    <t>Sewer System</t>
  </si>
  <si>
    <t>Non-Residential ($)</t>
  </si>
  <si>
    <t>City Total (Municipal Wide &amp; Urban Area) - Combined Sewer System</t>
  </si>
  <si>
    <t>City Total (Municipal Wide &amp; Urban Area) - Separated Sewer System</t>
  </si>
  <si>
    <t>Rural</t>
  </si>
  <si>
    <t>Urban Area - Combined Sewer System</t>
  </si>
  <si>
    <t>Urban Area - Separated Sewer System</t>
  </si>
  <si>
    <t>Non-Industrial ($)</t>
  </si>
  <si>
    <t>Total Municipal Wide Charges (Combined)</t>
  </si>
  <si>
    <t>Total Municipal Wide Charges (Separate)</t>
  </si>
  <si>
    <t>NR</t>
  </si>
  <si>
    <t xml:space="preserve">Industrial ($) - Reduced
</t>
  </si>
  <si>
    <t>Industrial - New - Reduced</t>
  </si>
  <si>
    <t>Industrial - Expansion - Reduced</t>
  </si>
  <si>
    <t>INDUSTRIAL</t>
  </si>
  <si>
    <t>Temporary Structure</t>
  </si>
  <si>
    <t>Ensure Student Residence is being built by a College/University/Post Secondary Institution</t>
  </si>
  <si>
    <t>Ensure redevelopment is within existing building envelope</t>
  </si>
  <si>
    <t>Industrial - New - Combined</t>
  </si>
  <si>
    <t>Industrial - New - Separated</t>
  </si>
  <si>
    <t>Industrial - New - Rural</t>
  </si>
  <si>
    <t>Industrial - Expansion - Combined</t>
  </si>
  <si>
    <t>Industrial - Expansion - Separated</t>
  </si>
  <si>
    <t>Industrial - Expansion - Rural</t>
  </si>
  <si>
    <t>SERVICE COMPONENT BREAKDOWN - July 6, 2020 - July 5, 2021</t>
  </si>
  <si>
    <t>FINANCIAL PLANNING, ADMINISTRATION AND POLICY</t>
  </si>
  <si>
    <t>DEVELOPMENT CHARGES, PROGRAM AND POLICIES</t>
  </si>
  <si>
    <t>Reference #</t>
  </si>
  <si>
    <t xml:space="preserve">Application
 Date </t>
  </si>
  <si>
    <t xml:space="preserve">Approval/Issuance Date </t>
  </si>
  <si>
    <r>
      <t xml:space="preserve">Site Plan Application </t>
    </r>
    <r>
      <rPr>
        <sz val="12"/>
        <color theme="1"/>
        <rFont val="Calibri"/>
        <family val="2"/>
        <scheme val="minor"/>
      </rPr>
      <t>(if N/A, leave dates blank)</t>
    </r>
  </si>
  <si>
    <r>
      <t>Zoning By-Law Application</t>
    </r>
    <r>
      <rPr>
        <sz val="12"/>
        <color theme="1"/>
        <rFont val="Calibri"/>
        <family val="2"/>
        <scheme val="minor"/>
      </rPr>
      <t xml:space="preserve"> (if N/A, leave dates blank)</t>
    </r>
  </si>
  <si>
    <t xml:space="preserve">Building Permit </t>
  </si>
  <si>
    <t xml:space="preserve">Lock-In Expiration </t>
  </si>
  <si>
    <t>Interest Calculation Expiration</t>
  </si>
  <si>
    <t>Calcluation of Interest on Development Charges from Planning Application to Building Permit Issuance</t>
  </si>
  <si>
    <t>INTEREST ESTIMATE DATE :</t>
  </si>
  <si>
    <t>Development Charge Lock-In Effective Date</t>
  </si>
  <si>
    <t>BoC Rate Effective Date</t>
  </si>
  <si>
    <t>BoC Effective Rate</t>
  </si>
  <si>
    <t>INTEREST CALCULATION</t>
  </si>
  <si>
    <t>CITY DC</t>
  </si>
  <si>
    <t>GO DC</t>
  </si>
  <si>
    <t>DC Calculation as at Planning Application Date</t>
  </si>
  <si>
    <t>DC Payable</t>
  </si>
  <si>
    <t xml:space="preserve">Interest </t>
  </si>
  <si>
    <t>TOTAL CITY, GO &amp; SAC DEVELOPMENT CHARGES PAYABLE</t>
  </si>
  <si>
    <t>Note: Education Development Charges are calculated as at permit issuance date and apply in addition to City, GO &amp; SACs</t>
  </si>
  <si>
    <t>TERMS AND CONDITIONS</t>
  </si>
  <si>
    <t>https://www.bankofcanada.ca/terms/</t>
  </si>
  <si>
    <t>SERIES</t>
  </si>
  <si>
    <t>id</t>
  </si>
  <si>
    <t>description</t>
  </si>
  <si>
    <t>Prime rate</t>
  </si>
  <si>
    <t>OBSERVATIONS</t>
  </si>
  <si>
    <t>NAME</t>
  </si>
  <si>
    <t>Interest rates posted for selected products by the major chartered banks</t>
  </si>
  <si>
    <t>DESCRIPTION</t>
  </si>
  <si>
    <t>Weekly Wednesday, rates in percentage</t>
  </si>
  <si>
    <t>LINK</t>
  </si>
  <si>
    <t>https://www.bankofcanada.ca/?p=205791</t>
  </si>
  <si>
    <t>label</t>
  </si>
  <si>
    <t>V80691311</t>
  </si>
  <si>
    <t>V80691333</t>
  </si>
  <si>
    <t>1-year</t>
  </si>
  <si>
    <t>Conventional mortgage</t>
  </si>
  <si>
    <t>V80691334</t>
  </si>
  <si>
    <t>3-year</t>
  </si>
  <si>
    <t>V80691335</t>
  </si>
  <si>
    <t>5-year</t>
  </si>
  <si>
    <t>V80691339</t>
  </si>
  <si>
    <t>Guaranteed investment certificates</t>
  </si>
  <si>
    <t>V80691340</t>
  </si>
  <si>
    <t>V80691341</t>
  </si>
  <si>
    <t>V80691336</t>
  </si>
  <si>
    <t>5-year personal fixed term</t>
  </si>
  <si>
    <t>V80691337</t>
  </si>
  <si>
    <t>Daily Interest Savings (balances over $100,000)</t>
  </si>
  <si>
    <t>V80691338</t>
  </si>
  <si>
    <t>Non-Chequable Savings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</si>
</sst>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quot;$&quot;* #,##0.00_);_(&quot;$&quot;* \(#,##0.00\);_(&quot;$&quot;* &quot;-&quot;??_);_(@_)"/>
    <numFmt numFmtId="165" formatCode="_-* #,##0_-;\-* #,##0_-;_-* &quot;-&quot;??_-;_-@_-"/>
    <numFmt numFmtId="166" formatCode="_-&quot;$&quot;* #,##0_-;\-&quot;$&quot;* #,##0_-;_-&quot;$&quot;* &quot;-&quot;??_-;_-@_-"/>
    <numFmt numFmtId="167" formatCode="_-* #,##0.0000_-;\-* #,##0.0000_-;_-* &quot;-&quot;??_-;_-@_-"/>
    <numFmt numFmtId="168" formatCode="_-* #,##0.000_-;\-* #,##0.000_-;_-* &quot;-&quot;??_-;_-@_-"/>
    <numFmt numFmtId="169" formatCode="#,##0_ ;\(#,##0\ \)"/>
    <numFmt numFmtId="170" formatCode="_(* #,##0.0_);_(* \(#,##0.0\);_(* &quot;-&quot;?_);_(@_)"/>
    <numFmt numFmtId="171" formatCode="_-* #,##0.00000_-;\-* #,##0.00000_-;_-* &quot;-&quot;??_-;_-@_-"/>
  </numFmts>
  <fonts count="60" x14ac:knownFonts="1">
    <font>
      <sz val="11"/>
      <color theme="1"/>
      <name val="Calibri"/>
      <family val="2"/>
      <scheme val="minor"/>
    </font>
    <font>
      <i/>
      <sz val="11"/>
      <color indexed="8"/>
      <name val="Calibri"/>
      <family val="2"/>
    </font>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sz val="11"/>
      <name val="Calibri"/>
      <family val="2"/>
      <scheme val="minor"/>
    </font>
    <font>
      <b/>
      <sz val="14"/>
      <color theme="0"/>
      <name val="Calibri"/>
      <family val="2"/>
      <scheme val="minor"/>
    </font>
    <font>
      <b/>
      <i/>
      <u/>
      <sz val="11"/>
      <color theme="1"/>
      <name val="Calibri"/>
      <family val="2"/>
      <scheme val="minor"/>
    </font>
    <font>
      <sz val="14"/>
      <color theme="0"/>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u val="double"/>
      <sz val="12"/>
      <color theme="1"/>
      <name val="Calibri"/>
      <family val="2"/>
      <scheme val="minor"/>
    </font>
    <font>
      <i/>
      <sz val="10"/>
      <color theme="1"/>
      <name val="Calibri"/>
      <family val="2"/>
      <scheme val="minor"/>
    </font>
    <font>
      <b/>
      <sz val="9"/>
      <color indexed="81"/>
      <name val="Tahoma"/>
      <family val="2"/>
    </font>
    <font>
      <sz val="9"/>
      <color indexed="81"/>
      <name val="Tahoma"/>
      <family val="2"/>
    </font>
    <font>
      <i/>
      <sz val="11"/>
      <color rgb="FF7030A0"/>
      <name val="Calibri"/>
      <family val="2"/>
      <scheme val="minor"/>
    </font>
    <font>
      <u/>
      <sz val="11"/>
      <color theme="10"/>
      <name val="Calibri"/>
      <family val="2"/>
      <scheme val="minor"/>
    </font>
    <font>
      <i/>
      <sz val="11"/>
      <color rgb="FFFF0000"/>
      <name val="Calibri"/>
      <family val="2"/>
      <scheme val="minor"/>
    </font>
    <font>
      <sz val="9"/>
      <color theme="1"/>
      <name val="Calibri"/>
      <family val="2"/>
      <scheme val="minor"/>
    </font>
    <font>
      <i/>
      <sz val="9"/>
      <color rgb="FF0000FF"/>
      <name val="Calibri"/>
      <family val="2"/>
      <scheme val="minor"/>
    </font>
    <font>
      <i/>
      <sz val="10"/>
      <name val="Calibri"/>
      <family val="2"/>
      <scheme val="minor"/>
    </font>
    <font>
      <i/>
      <sz val="9"/>
      <color rgb="FFFF0000"/>
      <name val="Calibri"/>
      <family val="2"/>
      <scheme val="minor"/>
    </font>
    <font>
      <b/>
      <sz val="11"/>
      <color theme="0"/>
      <name val="Calibri"/>
      <family val="2"/>
      <scheme val="minor"/>
    </font>
    <font>
      <b/>
      <sz val="20"/>
      <color theme="0"/>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i/>
      <sz val="9"/>
      <color indexed="8"/>
      <name val="Calibri"/>
      <family val="2"/>
    </font>
    <font>
      <u/>
      <sz val="11"/>
      <color theme="1"/>
      <name val="Calibri"/>
      <family val="2"/>
      <scheme val="minor"/>
    </font>
    <font>
      <sz val="11"/>
      <color theme="1"/>
      <name val="Arial"/>
      <family val="2"/>
    </font>
    <font>
      <b/>
      <sz val="11"/>
      <name val="Arial"/>
      <family val="2"/>
    </font>
    <font>
      <b/>
      <sz val="11"/>
      <color theme="1"/>
      <name val="Arial"/>
      <family val="2"/>
    </font>
    <font>
      <sz val="11"/>
      <color indexed="8"/>
      <name val="Arial"/>
      <family val="2"/>
    </font>
    <font>
      <b/>
      <u/>
      <sz val="11"/>
      <color theme="1"/>
      <name val="Arial"/>
      <family val="2"/>
    </font>
    <font>
      <b/>
      <sz val="10"/>
      <color theme="1"/>
      <name val="Arial"/>
      <family val="2"/>
    </font>
    <font>
      <b/>
      <sz val="11"/>
      <color indexed="8"/>
      <name val="Arial"/>
      <family val="2"/>
    </font>
    <font>
      <sz val="10"/>
      <color theme="1"/>
      <name val="Arial"/>
      <family val="2"/>
    </font>
    <font>
      <sz val="12"/>
      <color theme="1"/>
      <name val="Arial"/>
      <family val="2"/>
    </font>
    <font>
      <b/>
      <sz val="12"/>
      <color theme="1"/>
      <name val="Arial"/>
      <family val="2"/>
    </font>
    <font>
      <sz val="12"/>
      <color indexed="8"/>
      <name val="Arial"/>
      <family val="2"/>
    </font>
    <font>
      <sz val="12"/>
      <color rgb="FFFF0000"/>
      <name val="Arial"/>
      <family val="2"/>
    </font>
    <font>
      <b/>
      <u val="double"/>
      <sz val="12"/>
      <color theme="1"/>
      <name val="Arial"/>
      <family val="2"/>
    </font>
    <font>
      <i/>
      <sz val="12"/>
      <color theme="1"/>
      <name val="Arial"/>
      <family val="2"/>
    </font>
    <font>
      <b/>
      <i/>
      <u/>
      <sz val="12"/>
      <color theme="1"/>
      <name val="Arial"/>
      <family val="2"/>
    </font>
    <font>
      <sz val="12"/>
      <name val="Arial"/>
      <family val="2"/>
    </font>
    <font>
      <sz val="11"/>
      <color theme="0"/>
      <name val="Calibri"/>
      <family val="2"/>
      <scheme val="minor"/>
    </font>
    <font>
      <sz val="11"/>
      <color theme="0" tint="-4.9989318521683403E-2"/>
      <name val="Calibri"/>
      <family val="2"/>
      <scheme val="minor"/>
    </font>
    <font>
      <b/>
      <sz val="16"/>
      <color theme="0" tint="-4.9989318521683403E-2"/>
      <name val="Calibri"/>
      <family val="2"/>
      <scheme val="minor"/>
    </font>
    <font>
      <b/>
      <sz val="12"/>
      <color theme="0" tint="-4.9989318521683403E-2"/>
      <name val="Calibri"/>
      <family val="2"/>
      <scheme val="minor"/>
    </font>
    <font>
      <sz val="14"/>
      <color theme="0" tint="-4.9989318521683403E-2"/>
      <name val="Calibri"/>
      <family val="2"/>
      <scheme val="minor"/>
    </font>
    <font>
      <sz val="14"/>
      <color rgb="FF204C7B"/>
      <name val="Calibri"/>
      <family val="2"/>
      <scheme val="minor"/>
    </font>
    <font>
      <sz val="11"/>
      <color rgb="FF204C7B"/>
      <name val="Calibri"/>
      <family val="2"/>
      <scheme val="minor"/>
    </font>
    <font>
      <b/>
      <sz val="14"/>
      <color theme="1"/>
      <name val="Calibri"/>
      <family val="2"/>
      <scheme val="minor"/>
    </font>
    <font>
      <sz val="16"/>
      <color theme="2" tint="-0.249977111117893"/>
      <name val="Calibri"/>
      <family val="2"/>
      <scheme val="minor"/>
    </font>
    <font>
      <sz val="14"/>
      <color theme="2" tint="-0.249977111117893"/>
      <name val="Calibri"/>
      <family val="2"/>
      <scheme val="minor"/>
    </font>
    <font>
      <b/>
      <sz val="11"/>
      <color theme="0" tint="-4.9989318521683403E-2"/>
      <name val="Calibri"/>
      <family val="2"/>
      <scheme val="minor"/>
    </font>
    <font>
      <b/>
      <sz val="14"/>
      <color theme="0" tint="-4.9989318521683403E-2"/>
      <name val="Calibri"/>
      <family val="2"/>
      <scheme val="minor"/>
    </font>
    <font>
      <i/>
      <sz val="12"/>
      <color theme="1"/>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gray125">
        <bgColor theme="4" tint="0.79995117038483843"/>
      </patternFill>
    </fill>
    <fill>
      <patternFill patternType="solid">
        <fgColor rgb="FF204C7B"/>
        <bgColor indexed="64"/>
      </patternFill>
    </fill>
    <fill>
      <patternFill patternType="solid">
        <fgColor theme="6" tint="0.79998168889431442"/>
        <bgColor indexed="64"/>
      </patternFill>
    </fill>
    <fill>
      <patternFill patternType="solid">
        <fgColor rgb="FF92D050"/>
        <bgColor indexed="64"/>
      </patternFill>
    </fill>
  </fills>
  <borders count="42">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ashDotDot">
        <color auto="1"/>
      </left>
      <right/>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cellStyleXfs>
  <cellXfs count="624">
    <xf numFmtId="0" fontId="0" fillId="0" borderId="0" xfId="0"/>
    <xf numFmtId="0" fontId="0" fillId="0" borderId="2" xfId="0" applyBorder="1"/>
    <xf numFmtId="0" fontId="0" fillId="0" borderId="4" xfId="0" applyBorder="1"/>
    <xf numFmtId="0" fontId="4" fillId="0" borderId="0" xfId="0" applyFont="1"/>
    <xf numFmtId="0" fontId="3" fillId="0" borderId="0" xfId="0" applyFont="1"/>
    <xf numFmtId="0" fontId="0" fillId="0" borderId="0" xfId="0" applyAlignment="1">
      <alignment horizontal="right"/>
    </xf>
    <xf numFmtId="0" fontId="0" fillId="0" borderId="0" xfId="0" applyBorder="1"/>
    <xf numFmtId="43" fontId="0" fillId="0" borderId="0" xfId="1" applyFont="1" applyBorder="1"/>
    <xf numFmtId="0" fontId="0" fillId="0" borderId="0" xfId="0" applyAlignment="1">
      <alignment vertical="center"/>
    </xf>
    <xf numFmtId="43" fontId="2" fillId="0" borderId="0" xfId="1" applyFont="1" applyBorder="1"/>
    <xf numFmtId="0" fontId="0" fillId="0" borderId="0" xfId="0" applyFont="1"/>
    <xf numFmtId="0" fontId="0" fillId="7" borderId="18"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1" xfId="0" applyFont="1" applyFill="1" applyBorder="1" applyAlignment="1">
      <alignment horizontal="center" vertical="center"/>
    </xf>
    <xf numFmtId="43" fontId="2" fillId="0" borderId="0" xfId="1" applyFont="1" applyBorder="1" applyAlignment="1"/>
    <xf numFmtId="0" fontId="3" fillId="0" borderId="0" xfId="0" applyFont="1" applyAlignment="1">
      <alignment horizontal="center"/>
    </xf>
    <xf numFmtId="0" fontId="0" fillId="7" borderId="21" xfId="0" applyFont="1" applyFill="1" applyBorder="1" applyAlignment="1">
      <alignment horizontal="center" vertical="center" wrapText="1"/>
    </xf>
    <xf numFmtId="0" fontId="0" fillId="7" borderId="21" xfId="0" applyFont="1" applyFill="1" applyBorder="1" applyAlignment="1">
      <alignment horizontal="center" vertical="center"/>
    </xf>
    <xf numFmtId="0" fontId="0" fillId="7" borderId="22" xfId="0" applyFont="1" applyFill="1" applyBorder="1" applyAlignment="1">
      <alignment horizontal="center" vertical="center" wrapText="1"/>
    </xf>
    <xf numFmtId="0" fontId="0" fillId="7" borderId="15" xfId="0" applyFont="1" applyFill="1" applyBorder="1" applyAlignment="1">
      <alignment horizontal="center" vertical="center"/>
    </xf>
    <xf numFmtId="0" fontId="0" fillId="7" borderId="15" xfId="0" applyFont="1" applyFill="1" applyBorder="1" applyAlignment="1">
      <alignment horizontal="center" vertical="center" wrapText="1"/>
    </xf>
    <xf numFmtId="0" fontId="0" fillId="7" borderId="18" xfId="0" applyFont="1" applyFill="1" applyBorder="1" applyAlignment="1">
      <alignment horizontal="center" vertical="center"/>
    </xf>
    <xf numFmtId="0" fontId="0" fillId="0" borderId="11" xfId="0" applyFont="1" applyBorder="1" applyAlignment="1">
      <alignment horizontal="center"/>
    </xf>
    <xf numFmtId="0" fontId="0" fillId="0" borderId="0" xfId="0" applyFont="1" applyAlignment="1">
      <alignment horizontal="left"/>
    </xf>
    <xf numFmtId="0" fontId="3" fillId="0" borderId="0" xfId="0" applyFont="1" applyAlignment="1">
      <alignment horizontal="left"/>
    </xf>
    <xf numFmtId="165" fontId="0" fillId="0" borderId="0" xfId="1" applyNumberFormat="1" applyFont="1"/>
    <xf numFmtId="0" fontId="3" fillId="9" borderId="0" xfId="0" applyFont="1" applyFill="1" applyAlignment="1">
      <alignment horizontal="left"/>
    </xf>
    <xf numFmtId="166" fontId="3" fillId="9" borderId="0" xfId="2" applyNumberFormat="1" applyFont="1" applyFill="1"/>
    <xf numFmtId="166" fontId="3" fillId="9" borderId="0" xfId="0" applyNumberFormat="1" applyFont="1" applyFill="1"/>
    <xf numFmtId="0" fontId="8" fillId="0" borderId="0" xfId="0" applyFont="1"/>
    <xf numFmtId="44" fontId="3" fillId="9" borderId="0" xfId="2" applyFont="1" applyFill="1" applyBorder="1"/>
    <xf numFmtId="44" fontId="3" fillId="9" borderId="0" xfId="0" applyNumberFormat="1" applyFont="1" applyFill="1" applyBorder="1"/>
    <xf numFmtId="0" fontId="0" fillId="0" borderId="24" xfId="0" applyBorder="1"/>
    <xf numFmtId="44" fontId="3" fillId="9" borderId="24" xfId="2" applyFont="1" applyFill="1" applyBorder="1"/>
    <xf numFmtId="43" fontId="0" fillId="0" borderId="24" xfId="1" applyFont="1" applyBorder="1"/>
    <xf numFmtId="44" fontId="3" fillId="9" borderId="24" xfId="0" applyNumberFormat="1" applyFont="1" applyFill="1" applyBorder="1"/>
    <xf numFmtId="0" fontId="0" fillId="7" borderId="11" xfId="0" applyFont="1" applyFill="1" applyBorder="1" applyAlignment="1">
      <alignment horizontal="center"/>
    </xf>
    <xf numFmtId="0" fontId="0" fillId="0" borderId="20" xfId="0" applyFont="1" applyBorder="1" applyAlignment="1">
      <alignment horizontal="center"/>
    </xf>
    <xf numFmtId="43" fontId="0" fillId="0" borderId="0" xfId="0" applyNumberFormat="1" applyBorder="1"/>
    <xf numFmtId="44" fontId="3" fillId="9" borderId="0" xfId="2" applyNumberFormat="1" applyFont="1" applyFill="1" applyBorder="1"/>
    <xf numFmtId="43" fontId="0" fillId="0" borderId="0" xfId="0" applyNumberFormat="1" applyBorder="1" applyAlignment="1">
      <alignment horizontal="right"/>
    </xf>
    <xf numFmtId="165" fontId="0" fillId="0" borderId="0" xfId="1" applyNumberFormat="1" applyFont="1" applyBorder="1"/>
    <xf numFmtId="165" fontId="0" fillId="0" borderId="0" xfId="1" applyNumberFormat="1" applyFont="1" applyFill="1" applyBorder="1"/>
    <xf numFmtId="165" fontId="0" fillId="0" borderId="24" xfId="1" applyNumberFormat="1" applyFont="1" applyFill="1" applyBorder="1"/>
    <xf numFmtId="165" fontId="0" fillId="0" borderId="24" xfId="1" applyNumberFormat="1" applyFont="1" applyBorder="1"/>
    <xf numFmtId="0" fontId="0" fillId="0" borderId="27" xfId="0" applyBorder="1"/>
    <xf numFmtId="44" fontId="3" fillId="9" borderId="27" xfId="2" applyFont="1" applyFill="1" applyBorder="1"/>
    <xf numFmtId="43" fontId="0" fillId="0" borderId="27" xfId="1" applyFont="1" applyBorder="1"/>
    <xf numFmtId="43" fontId="0" fillId="0" borderId="27" xfId="1" applyFont="1" applyFill="1" applyBorder="1"/>
    <xf numFmtId="44" fontId="3" fillId="9" borderId="27" xfId="2" applyNumberFormat="1" applyFont="1" applyFill="1" applyBorder="1"/>
    <xf numFmtId="44" fontId="3" fillId="9" borderId="27" xfId="0" applyNumberFormat="1" applyFont="1" applyFill="1" applyBorder="1"/>
    <xf numFmtId="166" fontId="3" fillId="9" borderId="24" xfId="2" applyNumberFormat="1" applyFont="1" applyFill="1" applyBorder="1" applyAlignment="1">
      <alignment horizontal="right"/>
    </xf>
    <xf numFmtId="0" fontId="6" fillId="0" borderId="0" xfId="0" applyFont="1"/>
    <xf numFmtId="0" fontId="6" fillId="0" borderId="0" xfId="0" applyFont="1" applyFill="1"/>
    <xf numFmtId="0" fontId="4" fillId="0" borderId="0" xfId="0" applyFont="1" applyFill="1"/>
    <xf numFmtId="0" fontId="0" fillId="0" borderId="0" xfId="0" applyFont="1" applyFill="1"/>
    <xf numFmtId="0" fontId="7" fillId="8" borderId="15" xfId="0" applyFont="1" applyFill="1" applyBorder="1" applyAlignment="1">
      <alignment horizontal="center" wrapText="1"/>
    </xf>
    <xf numFmtId="0" fontId="9" fillId="8" borderId="15" xfId="0" applyFont="1" applyFill="1" applyBorder="1"/>
    <xf numFmtId="0" fontId="10" fillId="0" borderId="0" xfId="0" applyFont="1"/>
    <xf numFmtId="0" fontId="11" fillId="7" borderId="19" xfId="0" applyFont="1" applyFill="1" applyBorder="1"/>
    <xf numFmtId="0" fontId="11" fillId="0" borderId="0" xfId="0" applyFont="1"/>
    <xf numFmtId="0" fontId="13" fillId="0" borderId="0" xfId="0" applyFont="1" applyAlignment="1">
      <alignment horizontal="center"/>
    </xf>
    <xf numFmtId="44" fontId="3" fillId="9" borderId="0" xfId="2" applyFont="1" applyFill="1" applyBorder="1" applyAlignment="1">
      <alignment horizontal="right"/>
    </xf>
    <xf numFmtId="0" fontId="0" fillId="0" borderId="0" xfId="0" applyFill="1" applyBorder="1"/>
    <xf numFmtId="0" fontId="14" fillId="0" borderId="0" xfId="0" applyFont="1" applyAlignment="1">
      <alignment horizontal="left" wrapText="1"/>
    </xf>
    <xf numFmtId="0" fontId="0" fillId="0" borderId="0" xfId="0" applyFont="1" applyAlignment="1">
      <alignment horizontal="left" wrapText="1"/>
    </xf>
    <xf numFmtId="0" fontId="3" fillId="9" borderId="0" xfId="0" applyFont="1" applyFill="1" applyAlignment="1">
      <alignment horizontal="left" wrapText="1"/>
    </xf>
    <xf numFmtId="0" fontId="0" fillId="5" borderId="26" xfId="0" applyFont="1" applyFill="1" applyBorder="1" applyAlignment="1">
      <alignment horizontal="center" vertical="center"/>
    </xf>
    <xf numFmtId="0" fontId="17" fillId="0" borderId="0" xfId="0" applyFont="1"/>
    <xf numFmtId="0" fontId="0" fillId="0" borderId="28" xfId="0" applyBorder="1"/>
    <xf numFmtId="0" fontId="0" fillId="0" borderId="31" xfId="0" applyBorder="1"/>
    <xf numFmtId="0" fontId="0" fillId="0" borderId="32" xfId="0" applyBorder="1"/>
    <xf numFmtId="0" fontId="0" fillId="0" borderId="33" xfId="0" applyBorder="1"/>
    <xf numFmtId="0" fontId="13" fillId="0" borderId="32" xfId="0" applyFont="1" applyBorder="1" applyAlignment="1">
      <alignment horizontal="center"/>
    </xf>
    <xf numFmtId="165" fontId="2" fillId="0" borderId="0" xfId="1" applyNumberFormat="1" applyFont="1"/>
    <xf numFmtId="165" fontId="2" fillId="0" borderId="0" xfId="1" applyNumberFormat="1" applyFont="1" applyBorder="1"/>
    <xf numFmtId="165" fontId="2" fillId="0" borderId="0" xfId="1" applyNumberFormat="1" applyFont="1" applyFill="1" applyBorder="1"/>
    <xf numFmtId="165" fontId="2" fillId="0" borderId="32" xfId="1" applyNumberFormat="1" applyFont="1" applyBorder="1"/>
    <xf numFmtId="43" fontId="0" fillId="10" borderId="27" xfId="1" applyFont="1" applyFill="1" applyBorder="1"/>
    <xf numFmtId="0" fontId="18" fillId="0" borderId="0" xfId="3"/>
    <xf numFmtId="0" fontId="0" fillId="0" borderId="35" xfId="0" applyBorder="1"/>
    <xf numFmtId="0" fontId="19" fillId="0" borderId="35" xfId="0" applyFont="1" applyBorder="1"/>
    <xf numFmtId="0" fontId="5" fillId="0" borderId="0" xfId="0" applyFont="1" applyAlignment="1">
      <alignment horizontal="left"/>
    </xf>
    <xf numFmtId="0" fontId="20" fillId="0" borderId="0" xfId="0" applyFont="1"/>
    <xf numFmtId="0" fontId="21" fillId="0" borderId="0" xfId="0" applyFont="1"/>
    <xf numFmtId="0" fontId="22" fillId="0" borderId="0" xfId="0" quotePrefix="1" applyFont="1"/>
    <xf numFmtId="0" fontId="20" fillId="0" borderId="0" xfId="0" applyFont="1" applyAlignment="1">
      <alignment horizontal="right"/>
    </xf>
    <xf numFmtId="0" fontId="23" fillId="0" borderId="0" xfId="0" applyFont="1"/>
    <xf numFmtId="0" fontId="5" fillId="0" borderId="0" xfId="0" applyFont="1" applyAlignment="1">
      <alignment horizontal="left" vertical="center"/>
    </xf>
    <xf numFmtId="0" fontId="18" fillId="0" borderId="0" xfId="3" applyAlignment="1">
      <alignment vertical="center"/>
    </xf>
    <xf numFmtId="0" fontId="0" fillId="0" borderId="0" xfId="0" applyAlignment="1">
      <alignment horizontal="left" vertical="center"/>
    </xf>
    <xf numFmtId="0" fontId="0" fillId="0" borderId="35" xfId="0" applyBorder="1" applyAlignment="1">
      <alignment horizontal="left" vertical="center"/>
    </xf>
    <xf numFmtId="0" fontId="19" fillId="0" borderId="35" xfId="0" applyFont="1" applyBorder="1" applyAlignment="1">
      <alignment horizontal="left" vertical="center"/>
    </xf>
    <xf numFmtId="0" fontId="0" fillId="0" borderId="0" xfId="0" applyBorder="1" applyAlignment="1">
      <alignment horizontal="left" vertical="center"/>
    </xf>
    <xf numFmtId="0" fontId="19" fillId="0" borderId="0" xfId="0" applyFont="1" applyBorder="1" applyAlignment="1">
      <alignment horizontal="left" vertical="center"/>
    </xf>
    <xf numFmtId="0" fontId="0" fillId="0" borderId="11" xfId="0" applyFont="1" applyBorder="1" applyAlignment="1">
      <alignment horizontal="left" vertical="center"/>
    </xf>
    <xf numFmtId="0" fontId="0" fillId="0" borderId="11" xfId="0"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Border="1" applyAlignment="1">
      <alignment horizontal="left" vertical="center"/>
    </xf>
    <xf numFmtId="0" fontId="0" fillId="9" borderId="11" xfId="0" applyFont="1" applyFill="1" applyBorder="1" applyAlignment="1">
      <alignment horizontal="left" vertical="center"/>
    </xf>
    <xf numFmtId="0" fontId="0" fillId="9" borderId="11" xfId="0" applyFill="1" applyBorder="1" applyAlignment="1">
      <alignment vertical="center"/>
    </xf>
    <xf numFmtId="0" fontId="0" fillId="12" borderId="11" xfId="0" applyFont="1" applyFill="1" applyBorder="1" applyAlignment="1">
      <alignment horizontal="left" vertical="center"/>
    </xf>
    <xf numFmtId="0" fontId="0" fillId="12" borderId="11" xfId="0" applyFill="1" applyBorder="1" applyAlignment="1">
      <alignment vertical="center"/>
    </xf>
    <xf numFmtId="0" fontId="3" fillId="12" borderId="11" xfId="0" applyFont="1" applyFill="1" applyBorder="1" applyAlignment="1">
      <alignment vertical="center"/>
    </xf>
    <xf numFmtId="0" fontId="24" fillId="11" borderId="11" xfId="0" applyFont="1" applyFill="1" applyBorder="1" applyAlignment="1">
      <alignment horizontal="center" vertical="center"/>
    </xf>
    <xf numFmtId="0" fontId="0" fillId="0" borderId="11" xfId="0" applyBorder="1" applyAlignment="1">
      <alignment vertical="center" wrapText="1"/>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31" xfId="0" applyFill="1" applyBorder="1"/>
    <xf numFmtId="0" fontId="0" fillId="0" borderId="0" xfId="0" applyFill="1" applyBorder="1" applyAlignment="1">
      <alignment horizontal="center"/>
    </xf>
    <xf numFmtId="0" fontId="0" fillId="0" borderId="32" xfId="0" applyFill="1" applyBorder="1"/>
    <xf numFmtId="0" fontId="26" fillId="12" borderId="0" xfId="0" applyFont="1" applyFill="1" applyAlignment="1">
      <alignment horizontal="center"/>
    </xf>
    <xf numFmtId="0" fontId="26" fillId="12" borderId="0" xfId="0" applyFont="1" applyFill="1" applyBorder="1" applyAlignment="1">
      <alignment horizontal="center"/>
    </xf>
    <xf numFmtId="0" fontId="26" fillId="12" borderId="24" xfId="0" applyFont="1" applyFill="1" applyBorder="1" applyAlignment="1">
      <alignment horizontal="center"/>
    </xf>
    <xf numFmtId="0" fontId="26" fillId="12" borderId="27" xfId="0" applyFont="1" applyFill="1" applyBorder="1" applyAlignment="1">
      <alignment horizontal="center"/>
    </xf>
    <xf numFmtId="43" fontId="26" fillId="12" borderId="0" xfId="1" applyFont="1" applyFill="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43" fontId="27" fillId="0" borderId="34" xfId="1" applyNumberFormat="1" applyFont="1" applyBorder="1"/>
    <xf numFmtId="43" fontId="27" fillId="0" borderId="10" xfId="1" applyNumberFormat="1" applyFont="1" applyBorder="1"/>
    <xf numFmtId="0" fontId="3" fillId="0" borderId="10" xfId="0" applyFont="1" applyBorder="1"/>
    <xf numFmtId="0" fontId="3" fillId="0" borderId="33" xfId="0" applyFont="1" applyBorder="1"/>
    <xf numFmtId="43" fontId="0" fillId="1" borderId="32" xfId="0" applyNumberFormat="1" applyFill="1" applyBorder="1"/>
    <xf numFmtId="43" fontId="0" fillId="1" borderId="0" xfId="0" applyNumberFormat="1" applyFill="1" applyBorder="1"/>
    <xf numFmtId="43" fontId="2" fillId="2" borderId="32" xfId="1" applyFont="1" applyFill="1" applyBorder="1"/>
    <xf numFmtId="43" fontId="28" fillId="0" borderId="32" xfId="1" applyNumberFormat="1" applyFont="1" applyBorder="1"/>
    <xf numFmtId="43" fontId="2" fillId="2" borderId="0" xfId="1" applyFont="1" applyFill="1" applyBorder="1"/>
    <xf numFmtId="0" fontId="0" fillId="2" borderId="0" xfId="0" applyFill="1" applyBorder="1"/>
    <xf numFmtId="43" fontId="28" fillId="0" borderId="18" xfId="1" applyNumberFormat="1" applyFont="1" applyBorder="1"/>
    <xf numFmtId="43" fontId="28" fillId="0" borderId="15" xfId="1" applyNumberFormat="1" applyFont="1" applyBorder="1"/>
    <xf numFmtId="43" fontId="0" fillId="1" borderId="15" xfId="0" applyNumberFormat="1" applyFill="1" applyBorder="1"/>
    <xf numFmtId="43" fontId="28" fillId="0" borderId="11" xfId="1" applyNumberFormat="1" applyFont="1" applyBorder="1"/>
    <xf numFmtId="43" fontId="28" fillId="0" borderId="0" xfId="1" applyNumberFormat="1" applyFont="1" applyBorder="1"/>
    <xf numFmtId="0" fontId="0" fillId="2" borderId="20" xfId="0" applyFill="1" applyBorder="1"/>
    <xf numFmtId="0" fontId="0" fillId="2" borderId="17" xfId="0" applyFill="1" applyBorder="1"/>
    <xf numFmtId="0" fontId="0" fillId="2" borderId="19" xfId="0" applyFill="1" applyBorder="1"/>
    <xf numFmtId="0" fontId="0" fillId="0" borderId="11" xfId="0" applyBorder="1" applyAlignment="1">
      <alignment horizontal="center"/>
    </xf>
    <xf numFmtId="0" fontId="0" fillId="1" borderId="11" xfId="0" applyFill="1" applyBorder="1" applyAlignment="1">
      <alignment horizontal="center"/>
    </xf>
    <xf numFmtId="43" fontId="28" fillId="0" borderId="21" xfId="1" applyNumberFormat="1" applyFont="1" applyBorder="1"/>
    <xf numFmtId="43" fontId="28" fillId="0" borderId="17" xfId="1" applyNumberFormat="1" applyFont="1" applyBorder="1"/>
    <xf numFmtId="43" fontId="28" fillId="0" borderId="31" xfId="1" applyNumberFormat="1" applyFont="1" applyBorder="1"/>
    <xf numFmtId="43" fontId="28" fillId="0" borderId="19" xfId="1" applyNumberFormat="1" applyFont="1" applyBorder="1"/>
    <xf numFmtId="43" fontId="28" fillId="0" borderId="29" xfId="1" applyNumberFormat="1" applyFont="1" applyBorder="1"/>
    <xf numFmtId="43" fontId="28" fillId="0" borderId="30" xfId="1" applyNumberFormat="1" applyFont="1" applyBorder="1"/>
    <xf numFmtId="43" fontId="28" fillId="0" borderId="28" xfId="1" applyNumberFormat="1" applyFont="1" applyBorder="1"/>
    <xf numFmtId="0" fontId="0" fillId="0" borderId="20" xfId="0" applyBorder="1"/>
    <xf numFmtId="0" fontId="3" fillId="0" borderId="19" xfId="0" applyFont="1" applyBorder="1" applyAlignment="1">
      <alignment horizontal="center"/>
    </xf>
    <xf numFmtId="0" fontId="0" fillId="2" borderId="15" xfId="0" applyFill="1" applyBorder="1"/>
    <xf numFmtId="0" fontId="0" fillId="2" borderId="10" xfId="0" applyFill="1" applyBorder="1"/>
    <xf numFmtId="43" fontId="0" fillId="0" borderId="0" xfId="0" applyNumberFormat="1" applyFill="1" applyBorder="1"/>
    <xf numFmtId="43" fontId="28" fillId="0" borderId="0" xfId="1" applyNumberFormat="1" applyFont="1" applyFill="1" applyBorder="1"/>
    <xf numFmtId="165" fontId="28" fillId="0" borderId="0" xfId="0" applyNumberFormat="1" applyFont="1" applyFill="1" applyBorder="1"/>
    <xf numFmtId="43" fontId="2" fillId="2" borderId="20" xfId="1" applyFont="1" applyFill="1" applyBorder="1"/>
    <xf numFmtId="43" fontId="2" fillId="2" borderId="19" xfId="1" applyFont="1" applyFill="1" applyBorder="1"/>
    <xf numFmtId="0" fontId="3" fillId="0" borderId="0" xfId="0" applyFont="1" applyFill="1" applyBorder="1" applyAlignment="1">
      <alignment horizontal="center"/>
    </xf>
    <xf numFmtId="0" fontId="24" fillId="0" borderId="0" xfId="0" applyFont="1" applyFill="1" applyBorder="1" applyAlignment="1"/>
    <xf numFmtId="43" fontId="2" fillId="2" borderId="17" xfId="1" applyFont="1" applyFill="1" applyBorder="1"/>
    <xf numFmtId="43" fontId="0" fillId="0" borderId="18" xfId="0" applyNumberFormat="1" applyBorder="1"/>
    <xf numFmtId="43" fontId="0" fillId="0" borderId="11" xfId="0" applyNumberFormat="1" applyBorder="1"/>
    <xf numFmtId="165" fontId="28" fillId="0" borderId="17" xfId="0" applyNumberFormat="1" applyFont="1" applyBorder="1"/>
    <xf numFmtId="43" fontId="0" fillId="1" borderId="0" xfId="0" applyNumberFormat="1" applyFill="1"/>
    <xf numFmtId="165" fontId="28" fillId="0" borderId="11" xfId="0" applyNumberFormat="1" applyFont="1" applyBorder="1"/>
    <xf numFmtId="165" fontId="28" fillId="0" borderId="18" xfId="0" applyNumberFormat="1" applyFont="1" applyBorder="1"/>
    <xf numFmtId="165" fontId="28" fillId="0" borderId="15" xfId="0" applyNumberFormat="1" applyFont="1" applyBorder="1"/>
    <xf numFmtId="165" fontId="28" fillId="0" borderId="21" xfId="0" applyNumberFormat="1" applyFont="1" applyBorder="1"/>
    <xf numFmtId="165" fontId="28" fillId="0" borderId="0" xfId="0" applyNumberFormat="1" applyFont="1" applyBorder="1"/>
    <xf numFmtId="0" fontId="0" fillId="2" borderId="31" xfId="0" applyFill="1" applyBorder="1"/>
    <xf numFmtId="165" fontId="28" fillId="0" borderId="0" xfId="1" applyNumberFormat="1" applyFont="1" applyBorder="1"/>
    <xf numFmtId="0" fontId="0" fillId="0" borderId="0" xfId="0" applyFont="1" applyAlignment="1">
      <alignment horizontal="right" indent="1"/>
    </xf>
    <xf numFmtId="0" fontId="30" fillId="0" borderId="0" xfId="0" applyFont="1"/>
    <xf numFmtId="165" fontId="0" fillId="0" borderId="0" xfId="0" applyNumberFormat="1" applyBorder="1"/>
    <xf numFmtId="165" fontId="0" fillId="0" borderId="34" xfId="0" applyNumberFormat="1" applyBorder="1"/>
    <xf numFmtId="165" fontId="2" fillId="0" borderId="10" xfId="1" applyNumberFormat="1" applyFont="1" applyBorder="1"/>
    <xf numFmtId="43" fontId="0" fillId="0" borderId="32" xfId="0" applyNumberFormat="1" applyBorder="1"/>
    <xf numFmtId="0" fontId="0" fillId="0" borderId="30" xfId="0" applyBorder="1" applyAlignment="1">
      <alignment horizontal="center"/>
    </xf>
    <xf numFmtId="0" fontId="0" fillId="0" borderId="29" xfId="0" applyBorder="1" applyAlignment="1">
      <alignment horizontal="center"/>
    </xf>
    <xf numFmtId="0" fontId="0" fillId="0" borderId="0" xfId="0" applyAlignment="1">
      <alignment horizontal="center"/>
    </xf>
    <xf numFmtId="165" fontId="0" fillId="0" borderId="32" xfId="0" applyNumberFormat="1" applyBorder="1"/>
    <xf numFmtId="43" fontId="0" fillId="0" borderId="0" xfId="1" applyFont="1" applyFill="1" applyBorder="1"/>
    <xf numFmtId="0" fontId="0" fillId="11" borderId="0" xfId="0" applyFill="1"/>
    <xf numFmtId="0" fontId="0" fillId="11" borderId="0" xfId="0" applyFill="1" applyBorder="1"/>
    <xf numFmtId="43" fontId="2" fillId="11" borderId="0" xfId="1" applyFont="1" applyFill="1" applyBorder="1"/>
    <xf numFmtId="43" fontId="2" fillId="0" borderId="0" xfId="1" applyFont="1" applyFill="1" applyBorder="1"/>
    <xf numFmtId="0" fontId="0" fillId="5" borderId="10" xfId="0" applyFont="1" applyFill="1" applyBorder="1" applyAlignment="1">
      <alignment horizontal="center" vertical="center"/>
    </xf>
    <xf numFmtId="43" fontId="0" fillId="10" borderId="0" xfId="1" applyFont="1" applyFill="1" applyBorder="1"/>
    <xf numFmtId="44" fontId="3" fillId="9" borderId="31" xfId="2" applyFont="1" applyFill="1" applyBorder="1" applyAlignment="1">
      <alignment horizontal="right"/>
    </xf>
    <xf numFmtId="43" fontId="0" fillId="0" borderId="31" xfId="0" applyNumberFormat="1" applyBorder="1"/>
    <xf numFmtId="44" fontId="3" fillId="9" borderId="31" xfId="2" applyNumberFormat="1" applyFont="1" applyFill="1" applyBorder="1"/>
    <xf numFmtId="44" fontId="3" fillId="9" borderId="31" xfId="0" applyNumberFormat="1" applyFont="1" applyFill="1" applyBorder="1"/>
    <xf numFmtId="44" fontId="3" fillId="9" borderId="32" xfId="2" applyFont="1" applyFill="1" applyBorder="1"/>
    <xf numFmtId="44" fontId="3" fillId="9" borderId="32" xfId="2" applyNumberFormat="1" applyFont="1" applyFill="1" applyBorder="1"/>
    <xf numFmtId="43" fontId="2" fillId="0" borderId="32" xfId="1" applyFont="1" applyFill="1" applyBorder="1"/>
    <xf numFmtId="43" fontId="2" fillId="0" borderId="32" xfId="1" applyFont="1" applyBorder="1"/>
    <xf numFmtId="44" fontId="3" fillId="9" borderId="32" xfId="0" applyNumberFormat="1" applyFont="1" applyFill="1" applyBorder="1"/>
    <xf numFmtId="0" fontId="13" fillId="0" borderId="0" xfId="0" applyFont="1" applyBorder="1" applyAlignment="1">
      <alignment horizontal="center"/>
    </xf>
    <xf numFmtId="166" fontId="3" fillId="9" borderId="31" xfId="2" applyNumberFormat="1" applyFont="1" applyFill="1" applyBorder="1"/>
    <xf numFmtId="165" fontId="0" fillId="0" borderId="31" xfId="1" applyNumberFormat="1" applyFont="1" applyBorder="1"/>
    <xf numFmtId="165" fontId="2" fillId="0" borderId="31" xfId="1" applyNumberFormat="1" applyFont="1" applyBorder="1"/>
    <xf numFmtId="166" fontId="3" fillId="9" borderId="31" xfId="0" applyNumberFormat="1" applyFont="1" applyFill="1" applyBorder="1"/>
    <xf numFmtId="43" fontId="0" fillId="3" borderId="0" xfId="0" applyNumberFormat="1" applyFill="1" applyBorder="1" applyAlignment="1">
      <alignment horizontal="right"/>
    </xf>
    <xf numFmtId="43" fontId="0" fillId="3" borderId="31" xfId="0" applyNumberFormat="1" applyFill="1" applyBorder="1" applyAlignment="1">
      <alignment horizontal="right"/>
    </xf>
    <xf numFmtId="165" fontId="28" fillId="0" borderId="11" xfId="1" applyNumberFormat="1" applyFont="1" applyBorder="1"/>
    <xf numFmtId="9" fontId="0" fillId="0" borderId="0" xfId="0" applyNumberFormat="1"/>
    <xf numFmtId="14" fontId="0" fillId="0" borderId="0" xfId="0" applyNumberFormat="1"/>
    <xf numFmtId="0" fontId="3" fillId="0" borderId="0" xfId="0" applyFont="1" applyAlignment="1"/>
    <xf numFmtId="0" fontId="31" fillId="2" borderId="0" xfId="0" applyFont="1" applyFill="1"/>
    <xf numFmtId="167" fontId="31" fillId="2" borderId="0" xfId="1" applyNumberFormat="1" applyFont="1" applyFill="1"/>
    <xf numFmtId="0" fontId="31" fillId="7" borderId="0" xfId="0" applyFont="1" applyFill="1"/>
    <xf numFmtId="43" fontId="31" fillId="7" borderId="0" xfId="1" applyFont="1" applyFill="1"/>
    <xf numFmtId="0" fontId="31" fillId="0" borderId="0" xfId="0" applyFont="1"/>
    <xf numFmtId="0" fontId="31" fillId="7" borderId="19" xfId="0" applyFont="1" applyFill="1" applyBorder="1"/>
    <xf numFmtId="0" fontId="31" fillId="7" borderId="18"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0" borderId="0" xfId="0" applyFont="1" applyAlignment="1">
      <alignment wrapText="1"/>
    </xf>
    <xf numFmtId="0" fontId="31" fillId="7" borderId="30" xfId="0" applyFont="1" applyFill="1" applyBorder="1" applyAlignment="1">
      <alignment horizontal="center" vertical="center"/>
    </xf>
    <xf numFmtId="0" fontId="31" fillId="7" borderId="19" xfId="0" applyFont="1" applyFill="1" applyBorder="1" applyAlignment="1">
      <alignment horizontal="center" vertical="center"/>
    </xf>
    <xf numFmtId="0" fontId="35" fillId="7" borderId="31" xfId="0" applyFont="1" applyFill="1" applyBorder="1" applyAlignment="1">
      <alignment horizontal="left" vertical="center"/>
    </xf>
    <xf numFmtId="0" fontId="33" fillId="7" borderId="20" xfId="0" applyFont="1" applyFill="1" applyBorder="1" applyAlignment="1">
      <alignment horizontal="center" vertical="center"/>
    </xf>
    <xf numFmtId="0" fontId="31" fillId="7" borderId="17" xfId="0" applyFont="1" applyFill="1" applyBorder="1" applyAlignment="1">
      <alignment horizontal="left" indent="2"/>
    </xf>
    <xf numFmtId="165" fontId="31" fillId="0" borderId="34" xfId="1" applyNumberFormat="1" applyFont="1" applyFill="1" applyBorder="1"/>
    <xf numFmtId="165" fontId="31" fillId="0" borderId="20" xfId="1" applyNumberFormat="1" applyFont="1" applyFill="1" applyBorder="1"/>
    <xf numFmtId="43" fontId="31" fillId="0" borderId="20" xfId="1" applyFont="1" applyFill="1" applyBorder="1"/>
    <xf numFmtId="43" fontId="31" fillId="7" borderId="11" xfId="1" applyFont="1" applyFill="1" applyBorder="1"/>
    <xf numFmtId="165" fontId="31" fillId="0" borderId="18" xfId="1" applyNumberFormat="1" applyFont="1" applyFill="1" applyBorder="1"/>
    <xf numFmtId="165" fontId="31" fillId="0" borderId="11" xfId="1" applyNumberFormat="1" applyFont="1" applyFill="1" applyBorder="1"/>
    <xf numFmtId="43" fontId="31" fillId="0" borderId="11" xfId="1" applyFont="1" applyFill="1" applyBorder="1"/>
    <xf numFmtId="0" fontId="31" fillId="7" borderId="17" xfId="0" applyFont="1" applyFill="1" applyBorder="1" applyAlignment="1">
      <alignment horizontal="left" wrapText="1" indent="2"/>
    </xf>
    <xf numFmtId="165" fontId="31" fillId="0" borderId="36" xfId="1" applyNumberFormat="1" applyFont="1" applyFill="1" applyBorder="1" applyAlignment="1">
      <alignment vertical="center"/>
    </xf>
    <xf numFmtId="43" fontId="31" fillId="0" borderId="36" xfId="1" applyFont="1" applyFill="1" applyBorder="1" applyAlignment="1">
      <alignment vertical="center"/>
    </xf>
    <xf numFmtId="43" fontId="31" fillId="7" borderId="36" xfId="1" applyFont="1" applyFill="1" applyBorder="1"/>
    <xf numFmtId="0" fontId="33" fillId="7" borderId="17" xfId="0" applyFont="1" applyFill="1" applyBorder="1" applyAlignment="1">
      <alignment horizontal="left" vertical="center"/>
    </xf>
    <xf numFmtId="165" fontId="33" fillId="7" borderId="34" xfId="0" applyNumberFormat="1" applyFont="1" applyFill="1" applyBorder="1" applyAlignment="1">
      <alignment horizontal="center" vertical="center"/>
    </xf>
    <xf numFmtId="165" fontId="33" fillId="7" borderId="20" xfId="0" applyNumberFormat="1" applyFont="1" applyFill="1" applyBorder="1" applyAlignment="1">
      <alignment horizontal="center" vertical="center"/>
    </xf>
    <xf numFmtId="43" fontId="33" fillId="7" borderId="20" xfId="1" applyFont="1" applyFill="1" applyBorder="1" applyAlignment="1">
      <alignment horizontal="center" vertical="center"/>
    </xf>
    <xf numFmtId="0" fontId="35" fillId="7" borderId="17" xfId="0" applyFont="1" applyFill="1" applyBorder="1" applyAlignment="1">
      <alignment horizontal="left" vertical="center"/>
    </xf>
    <xf numFmtId="0" fontId="33" fillId="7" borderId="18" xfId="0" applyFont="1" applyFill="1" applyBorder="1" applyAlignment="1">
      <alignment horizontal="center" vertical="center"/>
    </xf>
    <xf numFmtId="0" fontId="33" fillId="7" borderId="11" xfId="0" applyFont="1" applyFill="1" applyBorder="1" applyAlignment="1">
      <alignment horizontal="center" vertical="center"/>
    </xf>
    <xf numFmtId="165" fontId="31" fillId="0" borderId="11" xfId="1" applyNumberFormat="1" applyFont="1" applyBorder="1"/>
    <xf numFmtId="43" fontId="31" fillId="0" borderId="11" xfId="1" applyFont="1" applyBorder="1"/>
    <xf numFmtId="43" fontId="31" fillId="0" borderId="0" xfId="0" applyNumberFormat="1" applyFont="1"/>
    <xf numFmtId="165" fontId="31" fillId="0" borderId="36" xfId="1" applyNumberFormat="1" applyFont="1" applyBorder="1"/>
    <xf numFmtId="43" fontId="31" fillId="0" borderId="36" xfId="1" applyFont="1" applyBorder="1"/>
    <xf numFmtId="0" fontId="33" fillId="7" borderId="31" xfId="0" applyFont="1" applyFill="1" applyBorder="1"/>
    <xf numFmtId="165" fontId="33" fillId="7" borderId="17" xfId="1" applyNumberFormat="1" applyFont="1" applyFill="1" applyBorder="1"/>
    <xf numFmtId="43" fontId="33" fillId="7" borderId="17" xfId="1" applyFont="1" applyFill="1" applyBorder="1"/>
    <xf numFmtId="165" fontId="33" fillId="7" borderId="20" xfId="1" applyNumberFormat="1" applyFont="1" applyFill="1" applyBorder="1"/>
    <xf numFmtId="43" fontId="33" fillId="7" borderId="20" xfId="1" applyFont="1" applyFill="1" applyBorder="1"/>
    <xf numFmtId="0" fontId="33" fillId="7" borderId="17" xfId="0" applyFont="1" applyFill="1" applyBorder="1" applyAlignment="1">
      <alignment vertical="center" wrapText="1"/>
    </xf>
    <xf numFmtId="165" fontId="33" fillId="7" borderId="17" xfId="0" applyNumberFormat="1" applyFont="1" applyFill="1" applyBorder="1" applyAlignment="1">
      <alignment vertical="center"/>
    </xf>
    <xf numFmtId="43" fontId="33" fillId="7" borderId="19" xfId="1" applyFont="1" applyFill="1" applyBorder="1" applyAlignment="1">
      <alignment vertical="center"/>
    </xf>
    <xf numFmtId="43" fontId="33" fillId="7" borderId="11" xfId="1" applyFont="1" applyFill="1" applyBorder="1" applyAlignment="1">
      <alignment vertical="center"/>
    </xf>
    <xf numFmtId="0" fontId="35" fillId="7" borderId="19" xfId="0" applyFont="1" applyFill="1" applyBorder="1" applyAlignment="1">
      <alignment wrapText="1"/>
    </xf>
    <xf numFmtId="165" fontId="33" fillId="7" borderId="18" xfId="0" applyNumberFormat="1" applyFont="1" applyFill="1" applyBorder="1" applyAlignment="1">
      <alignment vertical="center"/>
    </xf>
    <xf numFmtId="165" fontId="31" fillId="7" borderId="18" xfId="1" applyNumberFormat="1" applyFont="1" applyFill="1" applyBorder="1"/>
    <xf numFmtId="43" fontId="31" fillId="0" borderId="20" xfId="1" applyFont="1" applyFill="1" applyBorder="1" applyAlignment="1">
      <alignment horizontal="center"/>
    </xf>
    <xf numFmtId="0" fontId="33" fillId="7" borderId="20" xfId="0" applyFont="1" applyFill="1" applyBorder="1" applyAlignment="1">
      <alignment vertical="center" wrapText="1"/>
    </xf>
    <xf numFmtId="165" fontId="33" fillId="7" borderId="18" xfId="1" applyNumberFormat="1" applyFont="1" applyFill="1" applyBorder="1" applyAlignment="1">
      <alignment vertical="center"/>
    </xf>
    <xf numFmtId="43" fontId="31" fillId="3" borderId="0" xfId="0" applyNumberFormat="1" applyFont="1" applyFill="1"/>
    <xf numFmtId="0" fontId="31" fillId="7" borderId="17" xfId="0" applyFont="1" applyFill="1" applyBorder="1"/>
    <xf numFmtId="0" fontId="31" fillId="7" borderId="30" xfId="0" applyFont="1" applyFill="1" applyBorder="1"/>
    <xf numFmtId="168" fontId="31" fillId="3" borderId="0" xfId="1" applyNumberFormat="1" applyFont="1" applyFill="1"/>
    <xf numFmtId="0" fontId="33" fillId="7" borderId="17" xfId="0" applyFont="1" applyFill="1" applyBorder="1"/>
    <xf numFmtId="0" fontId="31" fillId="7" borderId="34" xfId="0" applyFont="1" applyFill="1" applyBorder="1"/>
    <xf numFmtId="0" fontId="31" fillId="7" borderId="20" xfId="0" applyFont="1" applyFill="1" applyBorder="1"/>
    <xf numFmtId="165" fontId="33" fillId="7" borderId="34" xfId="1" applyNumberFormat="1" applyFont="1" applyFill="1" applyBorder="1"/>
    <xf numFmtId="43" fontId="33" fillId="7" borderId="11" xfId="1" applyFont="1" applyFill="1" applyBorder="1"/>
    <xf numFmtId="168" fontId="31" fillId="0" borderId="0" xfId="1" applyNumberFormat="1" applyFont="1"/>
    <xf numFmtId="165" fontId="33" fillId="7" borderId="18" xfId="1" applyNumberFormat="1" applyFont="1" applyFill="1" applyBorder="1"/>
    <xf numFmtId="165" fontId="33" fillId="7" borderId="11" xfId="1" applyNumberFormat="1" applyFont="1" applyFill="1" applyBorder="1"/>
    <xf numFmtId="0" fontId="31" fillId="7" borderId="11" xfId="0" applyFont="1" applyFill="1" applyBorder="1"/>
    <xf numFmtId="0" fontId="33" fillId="7" borderId="20" xfId="0" applyFont="1" applyFill="1" applyBorder="1"/>
    <xf numFmtId="165" fontId="33" fillId="7" borderId="18" xfId="0" applyNumberFormat="1" applyFont="1" applyFill="1" applyBorder="1"/>
    <xf numFmtId="0" fontId="33" fillId="7" borderId="11" xfId="0" applyFont="1" applyFill="1" applyBorder="1"/>
    <xf numFmtId="0" fontId="31" fillId="7" borderId="11" xfId="0" applyFont="1" applyFill="1" applyBorder="1" applyAlignment="1">
      <alignment wrapText="1"/>
    </xf>
    <xf numFmtId="169" fontId="31" fillId="0" borderId="18" xfId="1" applyNumberFormat="1" applyFont="1" applyFill="1" applyBorder="1"/>
    <xf numFmtId="0" fontId="38" fillId="0" borderId="0" xfId="0" applyFont="1"/>
    <xf numFmtId="0" fontId="33" fillId="7" borderId="0" xfId="0" applyFont="1" applyFill="1"/>
    <xf numFmtId="0" fontId="31" fillId="0" borderId="0" xfId="0" applyFont="1" applyFill="1" applyBorder="1" applyAlignment="1">
      <alignment wrapText="1"/>
    </xf>
    <xf numFmtId="0" fontId="31" fillId="0" borderId="19" xfId="0" applyFont="1" applyFill="1" applyBorder="1" applyAlignment="1">
      <alignment horizontal="center" vertical="center" wrapText="1"/>
    </xf>
    <xf numFmtId="0" fontId="31" fillId="7" borderId="0" xfId="0" applyFont="1" applyFill="1" applyBorder="1"/>
    <xf numFmtId="0" fontId="31" fillId="0" borderId="11" xfId="0" applyFont="1" applyFill="1" applyBorder="1" applyAlignment="1">
      <alignment horizontal="center" vertical="center"/>
    </xf>
    <xf numFmtId="0" fontId="31" fillId="0" borderId="11" xfId="0" applyFont="1" applyFill="1" applyBorder="1" applyAlignment="1">
      <alignment wrapText="1"/>
    </xf>
    <xf numFmtId="169" fontId="31" fillId="0" borderId="20" xfId="1" applyNumberFormat="1" applyFont="1" applyFill="1" applyBorder="1"/>
    <xf numFmtId="169" fontId="31" fillId="0" borderId="34" xfId="1" applyNumberFormat="1" applyFont="1" applyFill="1" applyBorder="1"/>
    <xf numFmtId="169" fontId="31" fillId="7" borderId="0" xfId="1" applyNumberFormat="1" applyFont="1" applyFill="1" applyBorder="1"/>
    <xf numFmtId="169" fontId="31" fillId="0" borderId="11" xfId="1" applyNumberFormat="1" applyFont="1" applyFill="1" applyBorder="1"/>
    <xf numFmtId="0" fontId="33" fillId="0" borderId="11" xfId="0" applyFont="1" applyFill="1" applyBorder="1" applyAlignment="1">
      <alignment wrapText="1"/>
    </xf>
    <xf numFmtId="169" fontId="33" fillId="0" borderId="34" xfId="1" applyNumberFormat="1" applyFont="1" applyFill="1" applyBorder="1"/>
    <xf numFmtId="169" fontId="33" fillId="0" borderId="20" xfId="1" applyNumberFormat="1" applyFont="1" applyFill="1" applyBorder="1"/>
    <xf numFmtId="0" fontId="31" fillId="0" borderId="11" xfId="0" applyFont="1" applyBorder="1"/>
    <xf numFmtId="43" fontId="31" fillId="0" borderId="0" xfId="1" applyFont="1"/>
    <xf numFmtId="0" fontId="0" fillId="0" borderId="0" xfId="0" applyAlignment="1"/>
    <xf numFmtId="43" fontId="0" fillId="0" borderId="32" xfId="1" applyFont="1" applyBorder="1"/>
    <xf numFmtId="0" fontId="0" fillId="0" borderId="21" xfId="0" applyFont="1" applyBorder="1" applyAlignment="1">
      <alignment vertical="center"/>
    </xf>
    <xf numFmtId="170" fontId="0" fillId="0" borderId="0" xfId="0" applyNumberFormat="1"/>
    <xf numFmtId="0" fontId="3" fillId="0" borderId="0" xfId="0" applyFont="1" applyAlignment="1">
      <alignment horizontal="left"/>
    </xf>
    <xf numFmtId="0" fontId="0" fillId="7" borderId="15" xfId="0" applyFont="1" applyFill="1" applyBorder="1" applyAlignment="1">
      <alignment horizontal="center" vertical="center" wrapText="1"/>
    </xf>
    <xf numFmtId="0" fontId="33" fillId="7" borderId="20" xfId="0" applyFont="1" applyFill="1" applyBorder="1" applyAlignment="1">
      <alignment horizontal="center" vertical="center"/>
    </xf>
    <xf numFmtId="0" fontId="33" fillId="7" borderId="0" xfId="0" applyFont="1" applyFill="1" applyBorder="1" applyAlignment="1">
      <alignment horizontal="center"/>
    </xf>
    <xf numFmtId="0" fontId="31" fillId="7" borderId="33" xfId="0" applyFont="1" applyFill="1" applyBorder="1" applyAlignment="1">
      <alignment horizontal="center" vertical="center" wrapText="1"/>
    </xf>
    <xf numFmtId="165" fontId="33" fillId="7" borderId="30" xfId="1" applyNumberFormat="1" applyFont="1" applyFill="1" applyBorder="1" applyAlignment="1">
      <alignment vertical="center"/>
    </xf>
    <xf numFmtId="165" fontId="33" fillId="7" borderId="19" xfId="1" applyNumberFormat="1" applyFont="1" applyFill="1" applyBorder="1"/>
    <xf numFmtId="165" fontId="33" fillId="7" borderId="30" xfId="0" applyNumberFormat="1" applyFont="1" applyFill="1" applyBorder="1"/>
    <xf numFmtId="165" fontId="33" fillId="7" borderId="30" xfId="1" applyNumberFormat="1" applyFont="1" applyFill="1" applyBorder="1"/>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169" fontId="31" fillId="0" borderId="0" xfId="1" applyNumberFormat="1" applyFont="1" applyFill="1" applyBorder="1"/>
    <xf numFmtId="169" fontId="33" fillId="0" borderId="0" xfId="1" applyNumberFormat="1" applyFont="1" applyFill="1" applyBorder="1"/>
    <xf numFmtId="0" fontId="0" fillId="3" borderId="0" xfId="0" applyFont="1" applyFill="1" applyAlignment="1">
      <alignment horizontal="left"/>
    </xf>
    <xf numFmtId="0" fontId="39" fillId="0" borderId="0" xfId="0" applyFont="1"/>
    <xf numFmtId="0" fontId="39" fillId="0" borderId="0" xfId="0" applyFont="1" applyBorder="1"/>
    <xf numFmtId="43" fontId="39" fillId="0" borderId="0" xfId="1" applyFont="1" applyBorder="1" applyAlignment="1"/>
    <xf numFmtId="43" fontId="39" fillId="0" borderId="0" xfId="1" applyFont="1" applyBorder="1"/>
    <xf numFmtId="0" fontId="40" fillId="2" borderId="15" xfId="0" applyFont="1" applyFill="1" applyBorder="1" applyAlignment="1"/>
    <xf numFmtId="0" fontId="40" fillId="2" borderId="15" xfId="0" applyFont="1" applyFill="1" applyBorder="1" applyAlignment="1">
      <alignment horizontal="center" wrapText="1"/>
    </xf>
    <xf numFmtId="0" fontId="39" fillId="2" borderId="15" xfId="0" applyFont="1" applyFill="1" applyBorder="1"/>
    <xf numFmtId="0" fontId="39" fillId="7" borderId="28" xfId="0" applyFont="1" applyFill="1" applyBorder="1"/>
    <xf numFmtId="0" fontId="40" fillId="7" borderId="21" xfId="0" applyFont="1" applyFill="1" applyBorder="1" applyAlignment="1">
      <alignment vertical="center"/>
    </xf>
    <xf numFmtId="0" fontId="39" fillId="7" borderId="11" xfId="0" applyFont="1" applyFill="1" applyBorder="1" applyAlignment="1">
      <alignment horizontal="center" vertical="center" wrapText="1"/>
    </xf>
    <xf numFmtId="0" fontId="39" fillId="7" borderId="11" xfId="0" applyFont="1" applyFill="1" applyBorder="1" applyAlignment="1">
      <alignment horizontal="center" vertical="top" wrapText="1"/>
    </xf>
    <xf numFmtId="0" fontId="39" fillId="7" borderId="21"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39" fillId="7" borderId="18" xfId="0" applyFont="1" applyFill="1" applyBorder="1" applyAlignment="1">
      <alignment horizontal="center" vertical="center" wrapText="1"/>
    </xf>
    <xf numFmtId="0" fontId="39" fillId="7" borderId="15" xfId="0" applyFont="1" applyFill="1" applyBorder="1" applyAlignment="1">
      <alignment horizontal="center" vertical="center" wrapText="1"/>
    </xf>
    <xf numFmtId="0" fontId="39" fillId="7" borderId="11" xfId="0" applyFont="1" applyFill="1" applyBorder="1" applyAlignment="1">
      <alignment horizontal="center" vertical="center"/>
    </xf>
    <xf numFmtId="0" fontId="39" fillId="7" borderId="21" xfId="0" applyFont="1" applyFill="1" applyBorder="1" applyAlignment="1">
      <alignment horizontal="center" vertical="center"/>
    </xf>
    <xf numFmtId="0" fontId="39" fillId="7" borderId="21" xfId="0" applyFont="1" applyFill="1" applyBorder="1" applyAlignment="1">
      <alignment vertical="center"/>
    </xf>
    <xf numFmtId="0" fontId="39" fillId="7" borderId="15" xfId="0" applyFont="1" applyFill="1" applyBorder="1" applyAlignment="1">
      <alignment horizontal="center" vertical="center"/>
    </xf>
    <xf numFmtId="0" fontId="39" fillId="7" borderId="11" xfId="0" applyFont="1" applyFill="1" applyBorder="1" applyAlignment="1">
      <alignment horizontal="center"/>
    </xf>
    <xf numFmtId="0" fontId="39" fillId="0" borderId="11" xfId="0" applyFont="1" applyBorder="1" applyAlignment="1">
      <alignment horizontal="center"/>
    </xf>
    <xf numFmtId="0" fontId="39" fillId="0" borderId="20" xfId="0" applyFont="1" applyBorder="1" applyAlignment="1">
      <alignment horizontal="center"/>
    </xf>
    <xf numFmtId="0" fontId="39" fillId="0" borderId="28" xfId="0" applyFont="1" applyBorder="1"/>
    <xf numFmtId="0" fontId="39" fillId="0" borderId="29" xfId="0" applyFont="1" applyBorder="1"/>
    <xf numFmtId="0" fontId="39" fillId="0" borderId="30" xfId="0" applyFont="1" applyBorder="1"/>
    <xf numFmtId="0" fontId="39" fillId="0" borderId="31" xfId="0" applyFont="1" applyBorder="1"/>
    <xf numFmtId="0" fontId="39" fillId="0" borderId="11" xfId="0" applyFont="1" applyBorder="1"/>
    <xf numFmtId="0" fontId="39" fillId="0" borderId="17" xfId="0" applyFont="1" applyBorder="1"/>
    <xf numFmtId="0" fontId="43" fillId="0" borderId="31" xfId="0" applyFont="1" applyBorder="1" applyAlignment="1">
      <alignment horizontal="center"/>
    </xf>
    <xf numFmtId="0" fontId="39" fillId="0" borderId="19" xfId="0" applyFont="1" applyBorder="1"/>
    <xf numFmtId="0" fontId="39" fillId="0" borderId="18" xfId="0" applyFont="1" applyBorder="1"/>
    <xf numFmtId="43" fontId="39" fillId="0" borderId="11" xfId="1" applyFont="1" applyBorder="1"/>
    <xf numFmtId="0" fontId="40" fillId="0" borderId="31" xfId="0" applyFont="1" applyFill="1" applyBorder="1" applyAlignment="1">
      <alignment horizontal="left"/>
    </xf>
    <xf numFmtId="166" fontId="40" fillId="0" borderId="33" xfId="2" applyNumberFormat="1" applyFont="1" applyFill="1" applyBorder="1"/>
    <xf numFmtId="166" fontId="40" fillId="0" borderId="10" xfId="2" applyNumberFormat="1" applyFont="1" applyFill="1" applyBorder="1"/>
    <xf numFmtId="44" fontId="40" fillId="0" borderId="17" xfId="2" applyFont="1" applyFill="1" applyBorder="1"/>
    <xf numFmtId="44" fontId="40" fillId="0" borderId="20" xfId="2" applyFont="1" applyFill="1" applyBorder="1"/>
    <xf numFmtId="44" fontId="40" fillId="6" borderId="18" xfId="2" applyFont="1" applyFill="1" applyBorder="1" applyAlignment="1">
      <alignment horizontal="right"/>
    </xf>
    <xf numFmtId="44" fontId="40" fillId="0" borderId="11" xfId="2" applyFont="1" applyFill="1" applyBorder="1"/>
    <xf numFmtId="44" fontId="40" fillId="6" borderId="11" xfId="2" applyFont="1" applyFill="1" applyBorder="1" applyAlignment="1">
      <alignment horizontal="right"/>
    </xf>
    <xf numFmtId="0" fontId="40" fillId="0" borderId="0" xfId="0" applyFont="1"/>
    <xf numFmtId="0" fontId="39" fillId="0" borderId="31" xfId="0" applyFont="1" applyBorder="1" applyAlignment="1">
      <alignment horizontal="left"/>
    </xf>
    <xf numFmtId="165" fontId="39" fillId="0" borderId="11" xfId="1" applyNumberFormat="1" applyFont="1" applyBorder="1"/>
    <xf numFmtId="165" fontId="39" fillId="0" borderId="11" xfId="1" applyNumberFormat="1" applyFont="1" applyFill="1" applyBorder="1"/>
    <xf numFmtId="43" fontId="39" fillId="0" borderId="11" xfId="1" applyFont="1" applyFill="1" applyBorder="1"/>
    <xf numFmtId="43" fontId="39" fillId="0" borderId="18" xfId="0" applyNumberFormat="1" applyFont="1" applyBorder="1"/>
    <xf numFmtId="43" fontId="39" fillId="0" borderId="11" xfId="0" applyNumberFormat="1" applyFont="1" applyBorder="1"/>
    <xf numFmtId="0" fontId="44" fillId="6" borderId="31" xfId="0" applyFont="1" applyFill="1" applyBorder="1" applyAlignment="1">
      <alignment horizontal="right"/>
    </xf>
    <xf numFmtId="43" fontId="39" fillId="3" borderId="11" xfId="1" applyFont="1" applyFill="1" applyBorder="1"/>
    <xf numFmtId="171" fontId="39" fillId="0" borderId="18" xfId="0" applyNumberFormat="1" applyFont="1" applyBorder="1"/>
    <xf numFmtId="0" fontId="39" fillId="0" borderId="31" xfId="0" applyFont="1" applyFill="1" applyBorder="1" applyAlignment="1">
      <alignment horizontal="left"/>
    </xf>
    <xf numFmtId="0" fontId="39" fillId="0" borderId="18" xfId="0" applyFont="1" applyFill="1" applyBorder="1"/>
    <xf numFmtId="0" fontId="39" fillId="0" borderId="11" xfId="0" applyFont="1" applyFill="1" applyBorder="1"/>
    <xf numFmtId="43" fontId="39" fillId="0" borderId="11" xfId="0" applyNumberFormat="1" applyFont="1" applyFill="1" applyBorder="1"/>
    <xf numFmtId="0" fontId="39" fillId="0" borderId="0" xfId="0" applyFont="1" applyFill="1"/>
    <xf numFmtId="43" fontId="39" fillId="0" borderId="11" xfId="1" applyNumberFormat="1" applyFont="1" applyFill="1" applyBorder="1"/>
    <xf numFmtId="0" fontId="40" fillId="4" borderId="11" xfId="0" applyFont="1" applyFill="1" applyBorder="1" applyAlignment="1">
      <alignment horizontal="left"/>
    </xf>
    <xf numFmtId="166" fontId="40" fillId="4" borderId="11" xfId="2" applyNumberFormat="1" applyFont="1" applyFill="1" applyBorder="1"/>
    <xf numFmtId="44" fontId="40" fillId="4" borderId="11" xfId="2" applyFont="1" applyFill="1" applyBorder="1"/>
    <xf numFmtId="0" fontId="39" fillId="4" borderId="18" xfId="0" applyFont="1" applyFill="1" applyBorder="1"/>
    <xf numFmtId="0" fontId="39" fillId="4" borderId="11" xfId="0" applyFont="1" applyFill="1" applyBorder="1"/>
    <xf numFmtId="166" fontId="40" fillId="0" borderId="19" xfId="2" applyNumberFormat="1" applyFont="1" applyFill="1" applyBorder="1"/>
    <xf numFmtId="44" fontId="40" fillId="0" borderId="19" xfId="2" applyFont="1" applyFill="1" applyBorder="1"/>
    <xf numFmtId="0" fontId="39" fillId="0" borderId="34" xfId="0" applyFont="1" applyFill="1" applyBorder="1"/>
    <xf numFmtId="0" fontId="39" fillId="0" borderId="20" xfId="0" applyFont="1" applyFill="1" applyBorder="1"/>
    <xf numFmtId="166" fontId="40" fillId="0" borderId="20" xfId="2" applyNumberFormat="1" applyFont="1" applyFill="1" applyBorder="1"/>
    <xf numFmtId="166" fontId="40" fillId="0" borderId="20" xfId="2" applyNumberFormat="1" applyFont="1" applyFill="1" applyBorder="1" applyAlignment="1">
      <alignment horizontal="right"/>
    </xf>
    <xf numFmtId="44" fontId="40" fillId="0" borderId="20" xfId="2" applyNumberFormat="1" applyFont="1" applyFill="1" applyBorder="1"/>
    <xf numFmtId="44" fontId="40" fillId="0" borderId="34" xfId="2" applyNumberFormat="1" applyFont="1" applyFill="1" applyBorder="1"/>
    <xf numFmtId="43" fontId="39" fillId="9" borderId="18" xfId="0" applyNumberFormat="1" applyFont="1" applyFill="1" applyBorder="1" applyAlignment="1">
      <alignment horizontal="right"/>
    </xf>
    <xf numFmtId="43" fontId="39" fillId="9" borderId="11" xfId="0" applyNumberFormat="1" applyFont="1" applyFill="1" applyBorder="1" applyAlignment="1">
      <alignment horizontal="right"/>
    </xf>
    <xf numFmtId="0" fontId="39" fillId="0" borderId="20" xfId="0" applyFont="1" applyBorder="1" applyAlignment="1">
      <alignment horizontal="left"/>
    </xf>
    <xf numFmtId="0" fontId="40" fillId="0" borderId="31" xfId="0" applyFont="1" applyBorder="1" applyAlignment="1">
      <alignment horizontal="left"/>
    </xf>
    <xf numFmtId="165" fontId="39" fillId="0" borderId="19" xfId="1" applyNumberFormat="1" applyFont="1" applyFill="1" applyBorder="1"/>
    <xf numFmtId="43" fontId="39" fillId="0" borderId="19" xfId="1" applyFont="1" applyFill="1" applyBorder="1"/>
    <xf numFmtId="165" fontId="39" fillId="0" borderId="19" xfId="1" applyNumberFormat="1" applyFont="1" applyFill="1" applyBorder="1" applyAlignment="1">
      <alignment vertical="top"/>
    </xf>
    <xf numFmtId="43" fontId="39" fillId="0" borderId="19" xfId="1" applyFont="1" applyFill="1" applyBorder="1" applyAlignment="1">
      <alignment vertical="top"/>
    </xf>
    <xf numFmtId="43" fontId="39" fillId="15" borderId="18" xfId="0" applyNumberFormat="1" applyFont="1" applyFill="1" applyBorder="1"/>
    <xf numFmtId="43" fontId="39" fillId="15" borderId="11" xfId="0" applyNumberFormat="1" applyFont="1" applyFill="1" applyBorder="1"/>
    <xf numFmtId="0" fontId="39" fillId="0" borderId="33" xfId="0" applyFont="1" applyFill="1" applyBorder="1" applyAlignment="1">
      <alignment horizontal="left"/>
    </xf>
    <xf numFmtId="165" fontId="39" fillId="0" borderId="11" xfId="1" applyNumberFormat="1" applyFont="1" applyFill="1" applyBorder="1" applyAlignment="1">
      <alignment vertical="top"/>
    </xf>
    <xf numFmtId="43" fontId="39" fillId="0" borderId="11" xfId="1" applyNumberFormat="1" applyFont="1" applyFill="1" applyBorder="1" applyAlignment="1">
      <alignment vertical="top"/>
    </xf>
    <xf numFmtId="43" fontId="39" fillId="0" borderId="11" xfId="1" applyFont="1" applyFill="1" applyBorder="1" applyAlignment="1">
      <alignment vertical="top"/>
    </xf>
    <xf numFmtId="43" fontId="39" fillId="0" borderId="18" xfId="0" applyNumberFormat="1" applyFont="1" applyFill="1" applyBorder="1"/>
    <xf numFmtId="0" fontId="39" fillId="0" borderId="33" xfId="0" applyFont="1" applyBorder="1" applyAlignment="1">
      <alignment horizontal="left"/>
    </xf>
    <xf numFmtId="44" fontId="40" fillId="4" borderId="18" xfId="2" applyFont="1" applyFill="1" applyBorder="1"/>
    <xf numFmtId="43" fontId="39" fillId="4" borderId="11" xfId="0" applyNumberFormat="1" applyFont="1" applyFill="1" applyBorder="1"/>
    <xf numFmtId="0" fontId="40" fillId="4" borderId="11" xfId="0" applyFont="1" applyFill="1" applyBorder="1" applyAlignment="1">
      <alignment horizontal="left" wrapText="1"/>
    </xf>
    <xf numFmtId="44" fontId="40" fillId="4" borderId="11" xfId="2" applyNumberFormat="1" applyFont="1" applyFill="1" applyBorder="1"/>
    <xf numFmtId="43" fontId="39" fillId="4" borderId="18" xfId="0" applyNumberFormat="1" applyFont="1" applyFill="1" applyBorder="1"/>
    <xf numFmtId="43" fontId="39" fillId="4" borderId="11" xfId="1" applyFont="1" applyFill="1" applyBorder="1"/>
    <xf numFmtId="0" fontId="40" fillId="0" borderId="28" xfId="0" applyFont="1" applyFill="1" applyBorder="1" applyAlignment="1">
      <alignment horizontal="left"/>
    </xf>
    <xf numFmtId="43" fontId="39" fillId="0" borderId="19" xfId="1" applyFont="1" applyBorder="1"/>
    <xf numFmtId="0" fontId="43" fillId="0" borderId="17" xfId="0" applyFont="1" applyBorder="1" applyAlignment="1">
      <alignment horizontal="center"/>
    </xf>
    <xf numFmtId="0" fontId="39" fillId="0" borderId="17" xfId="0" applyFont="1" applyFill="1" applyBorder="1"/>
    <xf numFmtId="0" fontId="39" fillId="0" borderId="34" xfId="0" applyFont="1" applyBorder="1"/>
    <xf numFmtId="0" fontId="39" fillId="0" borderId="20" xfId="0" applyFont="1" applyBorder="1"/>
    <xf numFmtId="43" fontId="39" fillId="0" borderId="20" xfId="1" applyFont="1" applyBorder="1"/>
    <xf numFmtId="2" fontId="39" fillId="0" borderId="11" xfId="0" applyNumberFormat="1" applyFont="1" applyBorder="1"/>
    <xf numFmtId="166" fontId="40" fillId="4" borderId="11" xfId="0" applyNumberFormat="1" applyFont="1" applyFill="1" applyBorder="1"/>
    <xf numFmtId="44" fontId="40" fillId="4" borderId="18" xfId="0" applyNumberFormat="1" applyFont="1" applyFill="1" applyBorder="1"/>
    <xf numFmtId="44" fontId="40" fillId="4" borderId="11" xfId="0" applyNumberFormat="1" applyFont="1" applyFill="1" applyBorder="1"/>
    <xf numFmtId="0" fontId="40" fillId="0" borderId="17" xfId="0" applyFont="1" applyFill="1" applyBorder="1" applyAlignment="1">
      <alignment horizontal="left" wrapText="1"/>
    </xf>
    <xf numFmtId="166" fontId="40" fillId="0" borderId="19" xfId="0" applyNumberFormat="1" applyFont="1" applyFill="1" applyBorder="1"/>
    <xf numFmtId="44" fontId="40" fillId="0" borderId="0" xfId="0" applyNumberFormat="1" applyFont="1" applyFill="1" applyBorder="1"/>
    <xf numFmtId="0" fontId="40" fillId="0" borderId="0" xfId="0" applyFont="1" applyFill="1"/>
    <xf numFmtId="0" fontId="40" fillId="0" borderId="17" xfId="0" applyFont="1" applyFill="1" applyBorder="1" applyAlignment="1">
      <alignment horizontal="left"/>
    </xf>
    <xf numFmtId="44" fontId="40" fillId="0" borderId="0" xfId="2" applyNumberFormat="1" applyFont="1" applyFill="1" applyBorder="1"/>
    <xf numFmtId="9" fontId="39" fillId="0" borderId="0" xfId="1" applyNumberFormat="1" applyFont="1" applyBorder="1"/>
    <xf numFmtId="0" fontId="40" fillId="4" borderId="21" xfId="0" applyFont="1" applyFill="1" applyBorder="1" applyAlignment="1">
      <alignment horizontal="left" wrapText="1"/>
    </xf>
    <xf numFmtId="0" fontId="40" fillId="0" borderId="11" xfId="0" applyFont="1" applyBorder="1" applyAlignment="1">
      <alignment horizontal="center"/>
    </xf>
    <xf numFmtId="0" fontId="39" fillId="0" borderId="11" xfId="0" applyFont="1" applyBorder="1" applyAlignment="1">
      <alignment horizontal="left"/>
    </xf>
    <xf numFmtId="169" fontId="39" fillId="0" borderId="11" xfId="1" applyNumberFormat="1" applyFont="1" applyBorder="1"/>
    <xf numFmtId="169" fontId="39" fillId="0" borderId="11" xfId="1" applyNumberFormat="1" applyFont="1" applyFill="1" applyBorder="1"/>
    <xf numFmtId="0" fontId="40" fillId="0" borderId="29" xfId="0" applyFont="1" applyBorder="1" applyAlignment="1">
      <alignment horizontal="center"/>
    </xf>
    <xf numFmtId="0" fontId="40" fillId="0" borderId="0" xfId="0" applyFont="1" applyBorder="1" applyAlignment="1">
      <alignment horizontal="center"/>
    </xf>
    <xf numFmtId="0" fontId="43" fillId="0" borderId="0" xfId="0" applyFont="1" applyAlignment="1">
      <alignment horizontal="center"/>
    </xf>
    <xf numFmtId="0" fontId="40" fillId="0" borderId="0" xfId="0" applyFont="1" applyAlignment="1">
      <alignment horizontal="left"/>
    </xf>
    <xf numFmtId="0" fontId="45" fillId="0" borderId="0" xfId="0" applyFont="1"/>
    <xf numFmtId="0" fontId="44" fillId="0" borderId="0" xfId="0" applyFont="1" applyFill="1"/>
    <xf numFmtId="0" fontId="39" fillId="0" borderId="0" xfId="0" applyFont="1" applyAlignment="1">
      <alignment horizontal="right"/>
    </xf>
    <xf numFmtId="0" fontId="46" fillId="0" borderId="0" xfId="0" applyFont="1"/>
    <xf numFmtId="0" fontId="46" fillId="0" borderId="0" xfId="0" applyFont="1" applyFill="1"/>
    <xf numFmtId="166" fontId="3" fillId="9" borderId="0" xfId="2" applyNumberFormat="1" applyFont="1" applyFill="1" applyBorder="1"/>
    <xf numFmtId="166" fontId="3" fillId="9" borderId="0" xfId="0" applyNumberFormat="1" applyFont="1" applyFill="1" applyBorder="1"/>
    <xf numFmtId="164" fontId="3" fillId="9" borderId="0" xfId="2" applyNumberFormat="1" applyFont="1" applyFill="1" applyBorder="1"/>
    <xf numFmtId="0" fontId="11" fillId="7" borderId="40" xfId="0" applyFont="1" applyFill="1" applyBorder="1"/>
    <xf numFmtId="0" fontId="12" fillId="7" borderId="38" xfId="0" applyFont="1" applyFill="1" applyBorder="1" applyAlignment="1">
      <alignment horizontal="center" vertical="center" wrapText="1"/>
    </xf>
    <xf numFmtId="0" fontId="0" fillId="5" borderId="13" xfId="0" applyFont="1" applyFill="1" applyBorder="1" applyAlignment="1">
      <alignment horizontal="center" vertical="center"/>
    </xf>
    <xf numFmtId="0" fontId="0" fillId="7" borderId="16" xfId="0" applyFont="1" applyFill="1" applyBorder="1" applyAlignment="1">
      <alignment horizontal="center" vertical="center" wrapText="1"/>
    </xf>
    <xf numFmtId="0" fontId="13" fillId="0" borderId="2" xfId="0" applyFont="1" applyBorder="1" applyAlignment="1">
      <alignment horizontal="center"/>
    </xf>
    <xf numFmtId="0" fontId="0" fillId="0" borderId="2" xfId="0" applyFont="1" applyBorder="1" applyAlignment="1">
      <alignment horizontal="left"/>
    </xf>
    <xf numFmtId="43" fontId="0" fillId="0" borderId="4" xfId="1" applyFont="1" applyFill="1" applyBorder="1"/>
    <xf numFmtId="0" fontId="14" fillId="0" borderId="2" xfId="0" applyFont="1" applyBorder="1" applyAlignment="1">
      <alignment horizontal="left" wrapText="1"/>
    </xf>
    <xf numFmtId="43" fontId="0" fillId="0" borderId="4" xfId="1" applyFont="1" applyBorder="1"/>
    <xf numFmtId="0" fontId="3" fillId="9" borderId="2" xfId="0" applyFont="1" applyFill="1" applyBorder="1" applyAlignment="1">
      <alignment horizontal="left"/>
    </xf>
    <xf numFmtId="44" fontId="3" fillId="9" borderId="4" xfId="2" applyFont="1" applyFill="1" applyBorder="1"/>
    <xf numFmtId="0" fontId="40" fillId="0" borderId="2" xfId="0" applyFont="1" applyFill="1" applyBorder="1" applyAlignment="1">
      <alignment horizontal="left"/>
    </xf>
    <xf numFmtId="0" fontId="40" fillId="0" borderId="2" xfId="0" applyFont="1" applyBorder="1" applyAlignment="1">
      <alignment horizontal="left"/>
    </xf>
    <xf numFmtId="0" fontId="0" fillId="0" borderId="2" xfId="0" applyFont="1" applyBorder="1" applyAlignment="1">
      <alignment horizontal="left" wrapText="1"/>
    </xf>
    <xf numFmtId="43" fontId="0" fillId="10" borderId="4" xfId="1" applyFont="1" applyFill="1" applyBorder="1"/>
    <xf numFmtId="44" fontId="3" fillId="9" borderId="4" xfId="2" applyNumberFormat="1" applyFont="1" applyFill="1" applyBorder="1"/>
    <xf numFmtId="0" fontId="3" fillId="0" borderId="2" xfId="0" applyFont="1" applyBorder="1" applyAlignment="1">
      <alignment horizontal="center"/>
    </xf>
    <xf numFmtId="0" fontId="3" fillId="9" borderId="2" xfId="0" applyFont="1" applyFill="1" applyBorder="1" applyAlignment="1">
      <alignment horizontal="left" wrapText="1"/>
    </xf>
    <xf numFmtId="44" fontId="3" fillId="9" borderId="4" xfId="0" applyNumberFormat="1" applyFont="1" applyFill="1" applyBorder="1"/>
    <xf numFmtId="0" fontId="0" fillId="0" borderId="4" xfId="0" applyFill="1" applyBorder="1"/>
    <xf numFmtId="0" fontId="3" fillId="9" borderId="5" xfId="0" applyFont="1" applyFill="1" applyBorder="1" applyAlignment="1">
      <alignment horizontal="left" wrapText="1"/>
    </xf>
    <xf numFmtId="166" fontId="3" fillId="9" borderId="41" xfId="0" applyNumberFormat="1" applyFont="1" applyFill="1" applyBorder="1"/>
    <xf numFmtId="166" fontId="3" fillId="9" borderId="14" xfId="0" applyNumberFormat="1" applyFont="1" applyFill="1" applyBorder="1"/>
    <xf numFmtId="44" fontId="3" fillId="9" borderId="6" xfId="2" applyFont="1" applyFill="1" applyBorder="1"/>
    <xf numFmtId="0" fontId="0" fillId="16" borderId="18" xfId="0" applyFont="1" applyFill="1" applyBorder="1" applyAlignment="1">
      <alignment horizontal="center" vertical="center" wrapText="1"/>
    </xf>
    <xf numFmtId="0" fontId="9" fillId="8" borderId="0" xfId="0" applyFont="1" applyFill="1" applyBorder="1"/>
    <xf numFmtId="0" fontId="0" fillId="17" borderId="0" xfId="0" applyFill="1"/>
    <xf numFmtId="164" fontId="0" fillId="0" borderId="0" xfId="0" applyNumberFormat="1" applyFill="1" applyBorder="1"/>
    <xf numFmtId="0" fontId="0" fillId="0" borderId="11" xfId="0" applyBorder="1"/>
    <xf numFmtId="0" fontId="0" fillId="0" borderId="11" xfId="0" applyBorder="1" applyAlignment="1"/>
    <xf numFmtId="43" fontId="28" fillId="0" borderId="11" xfId="1" applyFont="1" applyBorder="1"/>
    <xf numFmtId="44" fontId="3" fillId="9" borderId="32" xfId="2" applyFont="1" applyFill="1" applyBorder="1" applyAlignment="1">
      <alignment horizontal="right"/>
    </xf>
    <xf numFmtId="43" fontId="0" fillId="0" borderId="0" xfId="0" applyNumberFormat="1" applyFill="1" applyBorder="1" applyAlignment="1">
      <alignment horizontal="right"/>
    </xf>
    <xf numFmtId="43" fontId="0" fillId="0" borderId="32" xfId="0" applyNumberFormat="1" applyFill="1" applyBorder="1" applyAlignment="1">
      <alignment horizontal="right"/>
    </xf>
    <xf numFmtId="44" fontId="3" fillId="18" borderId="0" xfId="0" applyNumberFormat="1" applyFont="1" applyFill="1" applyBorder="1"/>
    <xf numFmtId="44" fontId="3" fillId="18" borderId="31" xfId="0" applyNumberFormat="1" applyFont="1" applyFill="1" applyBorder="1"/>
    <xf numFmtId="43" fontId="0" fillId="0" borderId="31" xfId="1" applyFont="1" applyFill="1" applyBorder="1"/>
    <xf numFmtId="43" fontId="0" fillId="0" borderId="32" xfId="1" applyFont="1" applyFill="1" applyBorder="1"/>
    <xf numFmtId="43" fontId="2" fillId="0" borderId="31" xfId="1" applyFont="1" applyBorder="1"/>
    <xf numFmtId="0" fontId="0" fillId="0" borderId="21" xfId="0" applyFont="1" applyBorder="1" applyAlignment="1">
      <alignment horizontal="center"/>
    </xf>
    <xf numFmtId="164" fontId="3" fillId="9" borderId="31" xfId="2" applyNumberFormat="1" applyFont="1" applyFill="1" applyBorder="1"/>
    <xf numFmtId="43" fontId="0" fillId="0" borderId="31" xfId="0" applyNumberFormat="1" applyFill="1" applyBorder="1" applyAlignment="1">
      <alignment horizontal="right"/>
    </xf>
    <xf numFmtId="0" fontId="0" fillId="7" borderId="15" xfId="0" applyFont="1" applyFill="1" applyBorder="1" applyAlignment="1">
      <alignment horizontal="center" vertical="center" wrapText="1"/>
    </xf>
    <xf numFmtId="0" fontId="11" fillId="0" borderId="18" xfId="0" applyFont="1" applyBorder="1"/>
    <xf numFmtId="0" fontId="48" fillId="19" borderId="1" xfId="0" applyFont="1" applyFill="1" applyBorder="1" applyProtection="1"/>
    <xf numFmtId="0" fontId="48" fillId="19" borderId="12" xfId="0" applyFont="1" applyFill="1" applyBorder="1" applyProtection="1"/>
    <xf numFmtId="0" fontId="49" fillId="19" borderId="3" xfId="0" applyFont="1" applyFill="1" applyBorder="1" applyAlignment="1" applyProtection="1">
      <alignment horizontal="right"/>
    </xf>
    <xf numFmtId="0" fontId="48" fillId="19" borderId="2" xfId="0" applyFont="1" applyFill="1" applyBorder="1" applyProtection="1"/>
    <xf numFmtId="0" fontId="48" fillId="19" borderId="0" xfId="0" applyFont="1" applyFill="1" applyBorder="1" applyProtection="1"/>
    <xf numFmtId="0" fontId="49" fillId="19" borderId="4" xfId="0" applyFont="1" applyFill="1" applyBorder="1" applyAlignment="1" applyProtection="1">
      <alignment horizontal="right"/>
    </xf>
    <xf numFmtId="0" fontId="50" fillId="19" borderId="4" xfId="0" applyFont="1" applyFill="1" applyBorder="1" applyAlignment="1" applyProtection="1">
      <alignment horizontal="right"/>
    </xf>
    <xf numFmtId="0" fontId="48" fillId="19" borderId="4" xfId="0" applyFont="1" applyFill="1" applyBorder="1" applyProtection="1"/>
    <xf numFmtId="0" fontId="51" fillId="19" borderId="0" xfId="0" applyFont="1" applyFill="1" applyBorder="1" applyProtection="1"/>
    <xf numFmtId="0" fontId="51" fillId="19" borderId="0" xfId="0" applyFont="1" applyFill="1" applyBorder="1" applyAlignment="1" applyProtection="1">
      <alignment horizontal="right"/>
    </xf>
    <xf numFmtId="15" fontId="51" fillId="19" borderId="4" xfId="0" applyNumberFormat="1" applyFont="1" applyFill="1" applyBorder="1" applyAlignment="1" applyProtection="1"/>
    <xf numFmtId="0" fontId="51" fillId="19" borderId="2" xfId="0" applyFont="1" applyFill="1" applyBorder="1" applyProtection="1"/>
    <xf numFmtId="0" fontId="51" fillId="19" borderId="0" xfId="0" applyFont="1" applyFill="1" applyBorder="1" applyAlignment="1" applyProtection="1">
      <alignment horizontal="center" vertical="center" wrapText="1"/>
    </xf>
    <xf numFmtId="0" fontId="51" fillId="19" borderId="4" xfId="0" applyFont="1" applyFill="1" applyBorder="1" applyAlignment="1" applyProtection="1">
      <alignment horizontal="center" vertical="center" wrapText="1"/>
    </xf>
    <xf numFmtId="0" fontId="10" fillId="20" borderId="2" xfId="0" applyFont="1" applyFill="1" applyBorder="1" applyAlignment="1" applyProtection="1">
      <alignment horizontal="left"/>
    </xf>
    <xf numFmtId="0" fontId="54" fillId="20" borderId="9" xfId="0" applyFont="1" applyFill="1" applyBorder="1" applyAlignment="1" applyProtection="1">
      <alignment horizontal="left"/>
    </xf>
    <xf numFmtId="0" fontId="54" fillId="14" borderId="9" xfId="0" applyFont="1" applyFill="1" applyBorder="1" applyAlignment="1" applyProtection="1">
      <alignment horizontal="left"/>
    </xf>
    <xf numFmtId="0" fontId="0" fillId="0" borderId="0" xfId="0" applyProtection="1"/>
    <xf numFmtId="0" fontId="55" fillId="0" borderId="0" xfId="0" applyFont="1" applyFill="1" applyAlignment="1" applyProtection="1">
      <alignment horizontal="right"/>
    </xf>
    <xf numFmtId="15" fontId="56" fillId="0" borderId="0" xfId="0" applyNumberFormat="1" applyFont="1" applyFill="1" applyAlignment="1" applyProtection="1"/>
    <xf numFmtId="0" fontId="19" fillId="0" borderId="0" xfId="0" applyFont="1" applyProtection="1"/>
    <xf numFmtId="0" fontId="57" fillId="19" borderId="2" xfId="0" applyFont="1" applyFill="1" applyBorder="1" applyProtection="1"/>
    <xf numFmtId="0" fontId="0" fillId="0" borderId="0" xfId="0" applyFill="1" applyProtection="1"/>
    <xf numFmtId="0" fontId="3" fillId="20" borderId="2" xfId="0" applyFont="1" applyFill="1" applyBorder="1" applyProtection="1"/>
    <xf numFmtId="0" fontId="0" fillId="20" borderId="0" xfId="0" applyFill="1" applyBorder="1" applyProtection="1"/>
    <xf numFmtId="0" fontId="0" fillId="20" borderId="4" xfId="0" applyFill="1" applyBorder="1" applyProtection="1"/>
    <xf numFmtId="0" fontId="0" fillId="0" borderId="0" xfId="0" applyAlignment="1" applyProtection="1">
      <alignment vertical="top"/>
    </xf>
    <xf numFmtId="0" fontId="10" fillId="0" borderId="0" xfId="0" applyFont="1" applyAlignment="1" applyProtection="1">
      <alignment vertical="center" wrapText="1"/>
    </xf>
    <xf numFmtId="15" fontId="47" fillId="0" borderId="0" xfId="0" applyNumberFormat="1" applyFont="1" applyProtection="1"/>
    <xf numFmtId="0" fontId="0" fillId="20" borderId="2" xfId="0" applyFill="1" applyBorder="1" applyProtection="1"/>
    <xf numFmtId="0" fontId="53" fillId="9" borderId="0" xfId="0" applyFont="1" applyFill="1" applyBorder="1" applyAlignment="1" applyProtection="1">
      <alignment horizontal="center"/>
      <protection locked="0"/>
    </xf>
    <xf numFmtId="15" fontId="52" fillId="9" borderId="0" xfId="0" applyNumberFormat="1" applyFont="1" applyFill="1" applyBorder="1" applyAlignment="1" applyProtection="1">
      <alignment horizontal="center"/>
      <protection locked="0"/>
    </xf>
    <xf numFmtId="15" fontId="52" fillId="9" borderId="4" xfId="0" applyNumberFormat="1" applyFont="1" applyFill="1" applyBorder="1" applyAlignment="1" applyProtection="1">
      <alignment horizontal="center"/>
      <protection locked="0"/>
    </xf>
    <xf numFmtId="0" fontId="0" fillId="0" borderId="0" xfId="0" applyProtection="1">
      <protection locked="0"/>
    </xf>
    <xf numFmtId="0" fontId="5" fillId="0" borderId="0" xfId="0" applyFont="1" applyProtection="1">
      <protection locked="0"/>
    </xf>
    <xf numFmtId="0" fontId="10" fillId="20" borderId="0" xfId="0" applyFont="1" applyFill="1" applyBorder="1" applyProtection="1"/>
    <xf numFmtId="0" fontId="10" fillId="20" borderId="4" xfId="0" applyFont="1" applyFill="1" applyBorder="1" applyProtection="1"/>
    <xf numFmtId="0" fontId="54" fillId="20" borderId="2" xfId="0" applyFont="1" applyFill="1" applyBorder="1" applyAlignment="1" applyProtection="1">
      <alignment horizontal="left"/>
    </xf>
    <xf numFmtId="0" fontId="3" fillId="20" borderId="0" xfId="0" applyFont="1" applyFill="1" applyBorder="1" applyProtection="1"/>
    <xf numFmtId="0" fontId="54" fillId="20" borderId="0" xfId="0" applyFont="1" applyFill="1" applyBorder="1" applyProtection="1"/>
    <xf numFmtId="15" fontId="54" fillId="20" borderId="4" xfId="0" applyNumberFormat="1" applyFont="1" applyFill="1" applyBorder="1" applyAlignment="1" applyProtection="1">
      <alignment horizontal="center"/>
    </xf>
    <xf numFmtId="15" fontId="10" fillId="20" borderId="4" xfId="0" applyNumberFormat="1" applyFont="1" applyFill="1" applyBorder="1" applyAlignment="1" applyProtection="1">
      <alignment horizontal="center"/>
    </xf>
    <xf numFmtId="10" fontId="10" fillId="20" borderId="4" xfId="4" applyNumberFormat="1" applyFont="1" applyFill="1" applyBorder="1" applyAlignment="1" applyProtection="1">
      <alignment horizontal="center"/>
    </xf>
    <xf numFmtId="0" fontId="3" fillId="20" borderId="7" xfId="0" applyFont="1" applyFill="1" applyBorder="1" applyProtection="1"/>
    <xf numFmtId="0" fontId="54" fillId="20" borderId="7" xfId="0" applyFont="1" applyFill="1" applyBorder="1" applyProtection="1"/>
    <xf numFmtId="15" fontId="54" fillId="20" borderId="8" xfId="0" applyNumberFormat="1" applyFont="1" applyFill="1" applyBorder="1" applyAlignment="1" applyProtection="1">
      <alignment horizontal="center"/>
    </xf>
    <xf numFmtId="0" fontId="3" fillId="14" borderId="7" xfId="0" applyFont="1" applyFill="1" applyBorder="1" applyProtection="1"/>
    <xf numFmtId="0" fontId="54" fillId="14" borderId="7" xfId="0" applyFont="1" applyFill="1" applyBorder="1" applyProtection="1"/>
    <xf numFmtId="15" fontId="54" fillId="14" borderId="8" xfId="0" applyNumberFormat="1" applyFont="1" applyFill="1" applyBorder="1" applyAlignment="1" applyProtection="1">
      <alignment horizontal="center"/>
    </xf>
    <xf numFmtId="44" fontId="0" fillId="0" borderId="0" xfId="0" applyNumberFormat="1" applyProtection="1"/>
    <xf numFmtId="0" fontId="10" fillId="20" borderId="2" xfId="0" applyFont="1" applyFill="1" applyBorder="1" applyProtection="1"/>
    <xf numFmtId="0" fontId="54" fillId="20" borderId="0" xfId="0" applyFont="1" applyFill="1" applyBorder="1" applyAlignment="1" applyProtection="1">
      <alignment horizontal="center"/>
    </xf>
    <xf numFmtId="0" fontId="54" fillId="20" borderId="4" xfId="0" applyFont="1" applyFill="1" applyBorder="1" applyAlignment="1" applyProtection="1">
      <alignment horizontal="center"/>
    </xf>
    <xf numFmtId="44" fontId="52" fillId="9" borderId="0" xfId="2" applyFont="1" applyFill="1" applyBorder="1" applyProtection="1">
      <protection locked="0"/>
    </xf>
    <xf numFmtId="44" fontId="52" fillId="9" borderId="4" xfId="2" applyFont="1" applyFill="1" applyBorder="1" applyProtection="1">
      <protection locked="0"/>
    </xf>
    <xf numFmtId="44" fontId="10" fillId="20" borderId="0" xfId="2" applyFont="1" applyFill="1" applyBorder="1" applyProtection="1"/>
    <xf numFmtId="44" fontId="10" fillId="20" borderId="4" xfId="2" applyFont="1" applyFill="1" applyBorder="1" applyProtection="1"/>
    <xf numFmtId="0" fontId="58" fillId="19" borderId="2" xfId="0" applyFont="1" applyFill="1" applyBorder="1" applyProtection="1"/>
    <xf numFmtId="44" fontId="58" fillId="19" borderId="0" xfId="2" applyFont="1" applyFill="1" applyBorder="1" applyProtection="1"/>
    <xf numFmtId="44" fontId="58" fillId="19" borderId="4" xfId="2" applyFont="1" applyFill="1" applyBorder="1" applyProtection="1"/>
    <xf numFmtId="0" fontId="58" fillId="19" borderId="9" xfId="0" applyFont="1" applyFill="1" applyBorder="1" applyProtection="1"/>
    <xf numFmtId="0" fontId="48" fillId="19" borderId="7" xfId="0" applyFont="1" applyFill="1" applyBorder="1" applyProtection="1"/>
    <xf numFmtId="44" fontId="58" fillId="19" borderId="8" xfId="2" applyFont="1" applyFill="1" applyBorder="1" applyProtection="1"/>
    <xf numFmtId="0" fontId="59" fillId="0" borderId="0" xfId="0" applyFont="1" applyProtection="1"/>
    <xf numFmtId="0" fontId="0" fillId="21" borderId="0" xfId="0" applyFill="1"/>
    <xf numFmtId="0" fontId="0" fillId="0" borderId="11" xfId="0" applyFont="1" applyBorder="1" applyAlignment="1">
      <alignment horizontal="left" vertical="center"/>
    </xf>
    <xf numFmtId="0" fontId="0" fillId="0" borderId="11" xfId="0" applyBorder="1" applyAlignment="1">
      <alignment horizontal="left" vertical="center"/>
    </xf>
    <xf numFmtId="0" fontId="25" fillId="11" borderId="21" xfId="0" applyFont="1" applyFill="1" applyBorder="1" applyAlignment="1">
      <alignment horizontal="center" vertical="center"/>
    </xf>
    <xf numFmtId="0" fontId="25" fillId="11" borderId="15" xfId="0" applyFont="1" applyFill="1" applyBorder="1" applyAlignment="1">
      <alignment horizontal="center" vertical="center"/>
    </xf>
    <xf numFmtId="0" fontId="25" fillId="11" borderId="18" xfId="0" applyFont="1" applyFill="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12" fillId="7" borderId="21" xfId="0" applyFont="1" applyFill="1" applyBorder="1" applyAlignment="1">
      <alignment horizontal="center" vertical="top" wrapText="1"/>
    </xf>
    <xf numFmtId="0" fontId="12" fillId="7" borderId="15" xfId="0" applyFont="1" applyFill="1" applyBorder="1" applyAlignment="1">
      <alignment horizontal="center" vertical="top" wrapText="1"/>
    </xf>
    <xf numFmtId="0" fontId="12" fillId="16" borderId="15" xfId="0" applyFont="1" applyFill="1" applyBorder="1" applyAlignment="1">
      <alignment horizontal="center" vertical="top" wrapText="1"/>
    </xf>
    <xf numFmtId="0" fontId="3" fillId="7" borderId="2" xfId="0" applyFont="1" applyFill="1" applyBorder="1" applyAlignment="1">
      <alignment horizontal="center" vertical="center"/>
    </xf>
    <xf numFmtId="0" fontId="3" fillId="7" borderId="39" xfId="0" applyFont="1" applyFill="1" applyBorder="1" applyAlignment="1">
      <alignment horizontal="center" vertical="center"/>
    </xf>
    <xf numFmtId="0" fontId="7" fillId="8" borderId="28" xfId="0" applyFont="1" applyFill="1" applyBorder="1" applyAlignment="1">
      <alignment horizontal="left" wrapText="1"/>
    </xf>
    <xf numFmtId="0" fontId="7" fillId="8" borderId="29" xfId="0" applyFont="1" applyFill="1" applyBorder="1" applyAlignment="1">
      <alignment horizontal="left" wrapText="1"/>
    </xf>
    <xf numFmtId="0" fontId="7" fillId="8" borderId="15" xfId="0" applyFont="1" applyFill="1" applyBorder="1" applyAlignment="1">
      <alignment horizontal="left" wrapText="1"/>
    </xf>
    <xf numFmtId="0" fontId="12" fillId="7" borderId="37" xfId="0" applyFont="1" applyFill="1" applyBorder="1" applyAlignment="1">
      <alignment horizontal="center"/>
    </xf>
    <xf numFmtId="0" fontId="12" fillId="7" borderId="18" xfId="0" applyFont="1" applyFill="1" applyBorder="1" applyAlignment="1">
      <alignment horizontal="center" vertical="top" wrapText="1"/>
    </xf>
    <xf numFmtId="0" fontId="12" fillId="7" borderId="15" xfId="0" applyFont="1" applyFill="1" applyBorder="1" applyAlignment="1">
      <alignment horizontal="center" wrapText="1"/>
    </xf>
    <xf numFmtId="0" fontId="12" fillId="7" borderId="18" xfId="0" applyFont="1" applyFill="1" applyBorder="1" applyAlignment="1">
      <alignment horizontal="center" wrapText="1"/>
    </xf>
    <xf numFmtId="0" fontId="3" fillId="7" borderId="31" xfId="0" applyFont="1" applyFill="1" applyBorder="1" applyAlignment="1">
      <alignment horizontal="center" vertical="center"/>
    </xf>
    <xf numFmtId="0" fontId="3" fillId="7" borderId="33" xfId="0" applyFont="1" applyFill="1" applyBorder="1" applyAlignment="1">
      <alignment horizontal="center" vertical="center"/>
    </xf>
    <xf numFmtId="0" fontId="0" fillId="7" borderId="23"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7" fillId="8" borderId="21" xfId="0" applyFont="1" applyFill="1" applyBorder="1" applyAlignment="1">
      <alignment horizontal="left" wrapText="1"/>
    </xf>
    <xf numFmtId="0" fontId="12" fillId="7" borderId="15" xfId="0" applyFont="1" applyFill="1" applyBorder="1" applyAlignment="1">
      <alignment horizontal="center"/>
    </xf>
    <xf numFmtId="0" fontId="12" fillId="7" borderId="23"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21" xfId="0" applyFont="1" applyFill="1" applyBorder="1" applyAlignment="1">
      <alignment horizontal="center" wrapText="1"/>
    </xf>
    <xf numFmtId="0" fontId="40" fillId="4" borderId="21" xfId="0" applyFont="1" applyFill="1" applyBorder="1" applyAlignment="1">
      <alignment horizontal="center" wrapText="1"/>
    </xf>
    <xf numFmtId="0" fontId="40" fillId="4" borderId="15" xfId="0" applyFont="1" applyFill="1" applyBorder="1" applyAlignment="1">
      <alignment horizontal="center" wrapText="1"/>
    </xf>
    <xf numFmtId="0" fontId="40" fillId="4" borderId="18" xfId="0" applyFont="1" applyFill="1" applyBorder="1" applyAlignment="1">
      <alignment horizontal="center" wrapText="1"/>
    </xf>
    <xf numFmtId="0" fontId="40" fillId="7" borderId="21" xfId="0" applyFont="1" applyFill="1" applyBorder="1" applyAlignment="1">
      <alignment horizontal="center"/>
    </xf>
    <xf numFmtId="0" fontId="40" fillId="7" borderId="15" xfId="0" applyFont="1" applyFill="1" applyBorder="1" applyAlignment="1">
      <alignment horizontal="center"/>
    </xf>
    <xf numFmtId="0" fontId="40" fillId="7" borderId="18" xfId="0" applyFont="1" applyFill="1" applyBorder="1" applyAlignment="1">
      <alignment horizontal="center"/>
    </xf>
    <xf numFmtId="0" fontId="40" fillId="7" borderId="28" xfId="0" applyFont="1" applyFill="1" applyBorder="1" applyAlignment="1">
      <alignment horizontal="center" vertical="center" wrapText="1"/>
    </xf>
    <xf numFmtId="0" fontId="40" fillId="7" borderId="30" xfId="0" applyFont="1" applyFill="1" applyBorder="1" applyAlignment="1">
      <alignment horizontal="center" vertical="center" wrapText="1"/>
    </xf>
    <xf numFmtId="0" fontId="40" fillId="7" borderId="33" xfId="0" applyFont="1" applyFill="1" applyBorder="1" applyAlignment="1">
      <alignment horizontal="center" vertical="center" wrapText="1"/>
    </xf>
    <xf numFmtId="0" fontId="40" fillId="7" borderId="34" xfId="0" applyFont="1" applyFill="1" applyBorder="1" applyAlignment="1">
      <alignment horizontal="center" vertical="center" wrapText="1"/>
    </xf>
    <xf numFmtId="0" fontId="40" fillId="7" borderId="15" xfId="0" applyFont="1" applyFill="1" applyBorder="1" applyAlignment="1">
      <alignment horizontal="center" vertical="top" wrapText="1"/>
    </xf>
    <xf numFmtId="0" fontId="40" fillId="7" borderId="18" xfId="0" applyFont="1" applyFill="1" applyBorder="1" applyAlignment="1">
      <alignment horizontal="center" vertical="top" wrapText="1"/>
    </xf>
    <xf numFmtId="0" fontId="40" fillId="7" borderId="21" xfId="0" applyFont="1" applyFill="1" applyBorder="1" applyAlignment="1">
      <alignment horizontal="center" wrapText="1"/>
    </xf>
    <xf numFmtId="0" fontId="40" fillId="7" borderId="15" xfId="0" applyFont="1" applyFill="1" applyBorder="1" applyAlignment="1">
      <alignment horizontal="center" wrapText="1"/>
    </xf>
    <xf numFmtId="0" fontId="40" fillId="7" borderId="18" xfId="0" applyFont="1" applyFill="1" applyBorder="1" applyAlignment="1">
      <alignment horizontal="center" wrapText="1"/>
    </xf>
    <xf numFmtId="0" fontId="40" fillId="7" borderId="31" xfId="0" applyFont="1" applyFill="1" applyBorder="1" applyAlignment="1">
      <alignment horizontal="center" vertical="center"/>
    </xf>
    <xf numFmtId="0" fontId="40" fillId="7" borderId="33" xfId="0" applyFont="1" applyFill="1" applyBorder="1" applyAlignment="1">
      <alignment horizontal="center" vertical="center"/>
    </xf>
    <xf numFmtId="0" fontId="32" fillId="7" borderId="28" xfId="0" applyFont="1" applyFill="1" applyBorder="1" applyAlignment="1">
      <alignment horizontal="center"/>
    </xf>
    <xf numFmtId="0" fontId="32" fillId="7" borderId="15" xfId="0" applyFont="1" applyFill="1" applyBorder="1" applyAlignment="1">
      <alignment horizontal="center"/>
    </xf>
    <xf numFmtId="0" fontId="32" fillId="7" borderId="18" xfId="0" applyFont="1" applyFill="1" applyBorder="1" applyAlignment="1">
      <alignment horizontal="center"/>
    </xf>
    <xf numFmtId="0" fontId="33" fillId="7" borderId="10" xfId="0" applyFont="1" applyFill="1" applyBorder="1" applyAlignment="1">
      <alignment horizontal="center"/>
    </xf>
    <xf numFmtId="0" fontId="33" fillId="7" borderId="34" xfId="0" applyFont="1" applyFill="1" applyBorder="1" applyAlignment="1">
      <alignment horizontal="center"/>
    </xf>
    <xf numFmtId="0" fontId="33" fillId="7" borderId="31" xfId="0" applyFont="1" applyFill="1" applyBorder="1" applyAlignment="1">
      <alignment horizontal="center" vertical="center" wrapText="1"/>
    </xf>
    <xf numFmtId="0" fontId="33" fillId="7" borderId="32" xfId="0" applyFont="1" applyFill="1" applyBorder="1" applyAlignment="1">
      <alignment horizontal="center" vertical="center" wrapText="1"/>
    </xf>
    <xf numFmtId="0" fontId="33" fillId="7" borderId="33" xfId="0" applyFont="1" applyFill="1" applyBorder="1" applyAlignment="1">
      <alignment horizontal="center" vertical="center" wrapText="1"/>
    </xf>
    <xf numFmtId="0" fontId="33" fillId="7" borderId="34" xfId="0" applyFont="1" applyFill="1" applyBorder="1" applyAlignment="1">
      <alignment horizontal="center" vertical="center" wrapText="1"/>
    </xf>
    <xf numFmtId="0" fontId="33" fillId="7" borderId="17" xfId="0" applyFont="1" applyFill="1" applyBorder="1" applyAlignment="1">
      <alignment horizontal="center" vertical="center"/>
    </xf>
    <xf numFmtId="0" fontId="33" fillId="7" borderId="20" xfId="0" applyFont="1" applyFill="1" applyBorder="1" applyAlignment="1">
      <alignment horizontal="center" vertical="center"/>
    </xf>
    <xf numFmtId="0" fontId="36" fillId="2" borderId="11" xfId="0" quotePrefix="1" applyFont="1" applyFill="1" applyBorder="1" applyAlignment="1">
      <alignment horizontal="center"/>
    </xf>
    <xf numFmtId="0" fontId="36" fillId="2" borderId="11" xfId="0" applyFont="1" applyFill="1" applyBorder="1" applyAlignment="1">
      <alignment horizontal="center"/>
    </xf>
    <xf numFmtId="0" fontId="12" fillId="20" borderId="2" xfId="0" applyFont="1" applyFill="1" applyBorder="1" applyAlignment="1" applyProtection="1">
      <alignment horizontal="left" vertical="top" wrapText="1"/>
    </xf>
    <xf numFmtId="0" fontId="12" fillId="20" borderId="0" xfId="0" applyFont="1" applyFill="1" applyBorder="1" applyAlignment="1" applyProtection="1">
      <alignment horizontal="left" vertical="top" wrapText="1"/>
    </xf>
    <xf numFmtId="0" fontId="12" fillId="20" borderId="4" xfId="0" applyFont="1" applyFill="1" applyBorder="1" applyAlignment="1" applyProtection="1">
      <alignment horizontal="left" vertical="top" wrapText="1"/>
    </xf>
    <xf numFmtId="0" fontId="11" fillId="20" borderId="2" xfId="0" applyFont="1" applyFill="1" applyBorder="1" applyAlignment="1" applyProtection="1">
      <alignment horizontal="left" vertical="top" wrapText="1"/>
    </xf>
    <xf numFmtId="0" fontId="11" fillId="20" borderId="0" xfId="0" applyFont="1" applyFill="1" applyBorder="1" applyAlignment="1" applyProtection="1">
      <alignment horizontal="left" vertical="top" wrapText="1"/>
    </xf>
    <xf numFmtId="0" fontId="11" fillId="20" borderId="4" xfId="0" applyFont="1" applyFill="1" applyBorder="1" applyAlignment="1" applyProtection="1">
      <alignment horizontal="left" vertical="top" wrapText="1"/>
    </xf>
    <xf numFmtId="0" fontId="51" fillId="19" borderId="1" xfId="0" applyFont="1" applyFill="1" applyBorder="1" applyAlignment="1" applyProtection="1">
      <alignment horizontal="center"/>
    </xf>
    <xf numFmtId="0" fontId="51" fillId="19" borderId="12" xfId="0" applyFont="1" applyFill="1" applyBorder="1" applyAlignment="1" applyProtection="1">
      <alignment horizontal="center"/>
    </xf>
    <xf numFmtId="0" fontId="51" fillId="19" borderId="3" xfId="0" applyFont="1" applyFill="1" applyBorder="1" applyAlignment="1" applyProtection="1">
      <alignment horizontal="center"/>
    </xf>
    <xf numFmtId="0" fontId="24" fillId="13" borderId="0" xfId="0" applyFont="1" applyFill="1" applyAlignment="1">
      <alignment horizontal="center"/>
    </xf>
    <xf numFmtId="0" fontId="3" fillId="0" borderId="21" xfId="0" applyFont="1" applyBorder="1" applyAlignment="1">
      <alignment horizontal="center"/>
    </xf>
    <xf numFmtId="0" fontId="3" fillId="0" borderId="15" xfId="0" applyFont="1" applyBorder="1" applyAlignment="1">
      <alignment horizontal="center"/>
    </xf>
    <xf numFmtId="0" fontId="3" fillId="0" borderId="18" xfId="0" applyFont="1" applyBorder="1" applyAlignment="1">
      <alignment horizontal="center"/>
    </xf>
    <xf numFmtId="0" fontId="3" fillId="0" borderId="11" xfId="0" applyFont="1" applyBorder="1" applyAlignment="1">
      <alignment horizontal="center"/>
    </xf>
    <xf numFmtId="0" fontId="24" fillId="13" borderId="28" xfId="0" applyFont="1" applyFill="1" applyBorder="1" applyAlignment="1">
      <alignment horizontal="center"/>
    </xf>
    <xf numFmtId="0" fontId="24" fillId="13" borderId="29" xfId="0" applyFont="1" applyFill="1" applyBorder="1" applyAlignment="1">
      <alignment horizontal="center"/>
    </xf>
    <xf numFmtId="0" fontId="24" fillId="13" borderId="30" xfId="0" applyFont="1" applyFill="1" applyBorder="1" applyAlignment="1">
      <alignment horizontal="center"/>
    </xf>
    <xf numFmtId="0" fontId="3" fillId="0" borderId="0" xfId="0" applyFont="1" applyFill="1" applyBorder="1" applyAlignment="1">
      <alignment horizontal="center"/>
    </xf>
    <xf numFmtId="0" fontId="3" fillId="7" borderId="17" xfId="0" applyFont="1" applyFill="1" applyBorder="1" applyAlignment="1">
      <alignment horizontal="center" vertical="center"/>
    </xf>
    <xf numFmtId="0" fontId="3" fillId="7" borderId="20" xfId="0" applyFont="1" applyFill="1" applyBorder="1" applyAlignment="1">
      <alignment horizontal="center" vertical="center"/>
    </xf>
    <xf numFmtId="0" fontId="0" fillId="7" borderId="25" xfId="0"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27">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font>
    </dxf>
    <dxf>
      <font>
        <b/>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CC66"/>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428625</xdr:colOff>
      <xdr:row>15</xdr:row>
      <xdr:rowOff>66675</xdr:rowOff>
    </xdr:from>
    <xdr:to>
      <xdr:col>7</xdr:col>
      <xdr:colOff>47625</xdr:colOff>
      <xdr:row>25</xdr:row>
      <xdr:rowOff>161925</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H="1">
          <a:off x="1647825" y="257175"/>
          <a:ext cx="2667000" cy="666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15</xdr:row>
      <xdr:rowOff>104775</xdr:rowOff>
    </xdr:from>
    <xdr:to>
      <xdr:col>7</xdr:col>
      <xdr:colOff>390525</xdr:colOff>
      <xdr:row>25</xdr:row>
      <xdr:rowOff>161925</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a:off x="4400550" y="295275"/>
          <a:ext cx="257175" cy="628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438150</xdr:colOff>
      <xdr:row>15</xdr:row>
      <xdr:rowOff>76200</xdr:rowOff>
    </xdr:from>
    <xdr:to>
      <xdr:col>12</xdr:col>
      <xdr:colOff>0</xdr:colOff>
      <xdr:row>25</xdr:row>
      <xdr:rowOff>161925</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4705350" y="266700"/>
          <a:ext cx="2609850" cy="657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390525</xdr:colOff>
      <xdr:row>47</xdr:row>
      <xdr:rowOff>38100</xdr:rowOff>
    </xdr:from>
    <xdr:to>
      <xdr:col>7</xdr:col>
      <xdr:colOff>390525</xdr:colOff>
      <xdr:row>48</xdr:row>
      <xdr:rowOff>28575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4657725" y="1181100"/>
          <a:ext cx="0"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47</xdr:row>
      <xdr:rowOff>38100</xdr:rowOff>
    </xdr:from>
    <xdr:to>
      <xdr:col>9</xdr:col>
      <xdr:colOff>161925</xdr:colOff>
      <xdr:row>48</xdr:row>
      <xdr:rowOff>28575</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a:off x="5067300" y="1181100"/>
          <a:ext cx="581025"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333375</xdr:colOff>
      <xdr:row>1</xdr:row>
      <xdr:rowOff>0</xdr:rowOff>
    </xdr:from>
    <xdr:to>
      <xdr:col>0</xdr:col>
      <xdr:colOff>600075</xdr:colOff>
      <xdr:row>3</xdr:row>
      <xdr:rowOff>66675</xdr:rowOff>
    </xdr:to>
    <xdr:sp macro="" textlink="">
      <xdr:nvSpPr>
        <xdr:cNvPr id="2" name="Arrow: Down 1">
          <a:extLst>
            <a:ext uri="{FF2B5EF4-FFF2-40B4-BE49-F238E27FC236}">
              <a16:creationId xmlns:a16="http://schemas.microsoft.com/office/drawing/2014/main" id="{93A2750F-38C1-4AEB-A4A8-E86090DF76ED}"/>
            </a:ext>
          </a:extLst>
        </xdr:cNvPr>
        <xdr:cNvSpPr/>
      </xdr:nvSpPr>
      <xdr:spPr>
        <a:xfrm>
          <a:off x="333375" y="190500"/>
          <a:ext cx="266700" cy="447675"/>
        </a:xfrm>
        <a:prstGeom prst="downArrow">
          <a:avLst/>
        </a:prstGeom>
        <a:solidFill>
          <a:schemeClr val="tx2">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355146</xdr:colOff>
      <xdr:row>1</xdr:row>
      <xdr:rowOff>4082</xdr:rowOff>
    </xdr:from>
    <xdr:to>
      <xdr:col>7</xdr:col>
      <xdr:colOff>12246</xdr:colOff>
      <xdr:row>3</xdr:row>
      <xdr:rowOff>70757</xdr:rowOff>
    </xdr:to>
    <xdr:sp macro="" textlink="">
      <xdr:nvSpPr>
        <xdr:cNvPr id="8" name="Arrow: Down 7">
          <a:extLst>
            <a:ext uri="{FF2B5EF4-FFF2-40B4-BE49-F238E27FC236}">
              <a16:creationId xmlns:a16="http://schemas.microsoft.com/office/drawing/2014/main" id="{23933962-EF39-45E1-86DB-252FD5950F3B}"/>
            </a:ext>
          </a:extLst>
        </xdr:cNvPr>
        <xdr:cNvSpPr/>
      </xdr:nvSpPr>
      <xdr:spPr>
        <a:xfrm>
          <a:off x="4029075" y="194582"/>
          <a:ext cx="269421" cy="447675"/>
        </a:xfrm>
        <a:prstGeom prst="downArrow">
          <a:avLst/>
        </a:prstGeom>
        <a:solidFill>
          <a:schemeClr val="tx2">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251113</xdr:colOff>
      <xdr:row>33</xdr:row>
      <xdr:rowOff>34636</xdr:rowOff>
    </xdr:from>
    <xdr:to>
      <xdr:col>8</xdr:col>
      <xdr:colOff>415636</xdr:colOff>
      <xdr:row>36</xdr:row>
      <xdr:rowOff>95250</xdr:rowOff>
    </xdr:to>
    <xdr:sp macro="" textlink="">
      <xdr:nvSpPr>
        <xdr:cNvPr id="4" name="Right Brace 3">
          <a:extLst>
            <a:ext uri="{FF2B5EF4-FFF2-40B4-BE49-F238E27FC236}">
              <a16:creationId xmlns:a16="http://schemas.microsoft.com/office/drawing/2014/main" id="{AB537FE3-59A5-48B6-B876-D179DD791991}"/>
            </a:ext>
          </a:extLst>
        </xdr:cNvPr>
        <xdr:cNvSpPr/>
      </xdr:nvSpPr>
      <xdr:spPr>
        <a:xfrm>
          <a:off x="5100204" y="6321136"/>
          <a:ext cx="164523" cy="632114"/>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2</xdr:row>
      <xdr:rowOff>85725</xdr:rowOff>
    </xdr:to>
    <xdr:sp macro="" textlink="">
      <xdr:nvSpPr>
        <xdr:cNvPr id="2" name="AutoShape 2" descr="Sustainable Hamilton Burlington Business City Symbol, PNG, 500x500px,  Sustainable Hamilton Burlington, Black, Black And White, Brand,">
          <a:extLst>
            <a:ext uri="{FF2B5EF4-FFF2-40B4-BE49-F238E27FC236}">
              <a16:creationId xmlns:a16="http://schemas.microsoft.com/office/drawing/2014/main" id="{EA709769-F17C-4639-8A17-AC1A35C51937}"/>
            </a:ext>
          </a:extLst>
        </xdr:cNvPr>
        <xdr:cNvSpPr>
          <a:spLocks noChangeAspect="1" noChangeArrowheads="1"/>
        </xdr:cNvSpPr>
      </xdr:nvSpPr>
      <xdr:spPr bwMode="auto">
        <a:xfrm>
          <a:off x="0" y="3619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2</xdr:row>
      <xdr:rowOff>85725</xdr:rowOff>
    </xdr:to>
    <xdr:sp macro="" textlink="">
      <xdr:nvSpPr>
        <xdr:cNvPr id="3" name="AutoShape 3" descr="Sustainable Hamilton Burlington Business City Symbol, PNG, 500x500px,  Sustainable Hamilton Burlington, Black, Black And White, Brand,">
          <a:extLst>
            <a:ext uri="{FF2B5EF4-FFF2-40B4-BE49-F238E27FC236}">
              <a16:creationId xmlns:a16="http://schemas.microsoft.com/office/drawing/2014/main" id="{05A3E839-DB7E-4579-B815-B1F16C28E050}"/>
            </a:ext>
          </a:extLst>
        </xdr:cNvPr>
        <xdr:cNvSpPr>
          <a:spLocks noChangeAspect="1" noChangeArrowheads="1"/>
        </xdr:cNvSpPr>
      </xdr:nvSpPr>
      <xdr:spPr bwMode="auto">
        <a:xfrm>
          <a:off x="0" y="3619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2</xdr:row>
      <xdr:rowOff>85725</xdr:rowOff>
    </xdr:to>
    <xdr:sp macro="" textlink="">
      <xdr:nvSpPr>
        <xdr:cNvPr id="4" name="AutoShape 6" descr="City of Hamilton logo">
          <a:extLst>
            <a:ext uri="{FF2B5EF4-FFF2-40B4-BE49-F238E27FC236}">
              <a16:creationId xmlns:a16="http://schemas.microsoft.com/office/drawing/2014/main" id="{0D66B6B0-D017-4B3E-BA81-876B7137E604}"/>
            </a:ext>
          </a:extLst>
        </xdr:cNvPr>
        <xdr:cNvSpPr>
          <a:spLocks noChangeAspect="1" noChangeArrowheads="1"/>
        </xdr:cNvSpPr>
      </xdr:nvSpPr>
      <xdr:spPr bwMode="auto">
        <a:xfrm>
          <a:off x="0" y="3619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301625</xdr:rowOff>
    </xdr:to>
    <xdr:sp macro="" textlink="">
      <xdr:nvSpPr>
        <xdr:cNvPr id="5" name="AutoShape 7" descr="City of Hamilton logo">
          <a:extLst>
            <a:ext uri="{FF2B5EF4-FFF2-40B4-BE49-F238E27FC236}">
              <a16:creationId xmlns:a16="http://schemas.microsoft.com/office/drawing/2014/main" id="{4F6FDB1C-8B16-4D3F-8FC6-DBCCDBA03669}"/>
            </a:ext>
          </a:extLst>
        </xdr:cNvPr>
        <xdr:cNvSpPr>
          <a:spLocks noChangeAspect="1" noChangeArrowheads="1"/>
        </xdr:cNvSpPr>
      </xdr:nvSpPr>
      <xdr:spPr bwMode="auto">
        <a:xfrm>
          <a:off x="0" y="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301625</xdr:rowOff>
    </xdr:to>
    <xdr:sp macro="" textlink="">
      <xdr:nvSpPr>
        <xdr:cNvPr id="6" name="AutoShape 8" descr="City of Hamilton logo">
          <a:extLst>
            <a:ext uri="{FF2B5EF4-FFF2-40B4-BE49-F238E27FC236}">
              <a16:creationId xmlns:a16="http://schemas.microsoft.com/office/drawing/2014/main" id="{476DEFAF-BBD9-42FA-9E9B-7CE5AA00F37B}"/>
            </a:ext>
          </a:extLst>
        </xdr:cNvPr>
        <xdr:cNvSpPr>
          <a:spLocks noChangeAspect="1" noChangeArrowheads="1"/>
        </xdr:cNvSpPr>
      </xdr:nvSpPr>
      <xdr:spPr bwMode="auto">
        <a:xfrm>
          <a:off x="0" y="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141111</xdr:colOff>
      <xdr:row>0</xdr:row>
      <xdr:rowOff>102305</xdr:rowOff>
    </xdr:from>
    <xdr:to>
      <xdr:col>0</xdr:col>
      <xdr:colOff>1549754</xdr:colOff>
      <xdr:row>4</xdr:row>
      <xdr:rowOff>216606</xdr:rowOff>
    </xdr:to>
    <xdr:pic>
      <xdr:nvPicPr>
        <xdr:cNvPr id="7" name="Picture 6">
          <a:extLst>
            <a:ext uri="{FF2B5EF4-FFF2-40B4-BE49-F238E27FC236}">
              <a16:creationId xmlns:a16="http://schemas.microsoft.com/office/drawing/2014/main" id="{66B894EF-0DF2-460F-8D04-3543C32378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111" y="102305"/>
          <a:ext cx="1408643" cy="1136651"/>
        </a:xfrm>
        <a:prstGeom prst="rect">
          <a:avLst/>
        </a:prstGeom>
      </xdr:spPr>
    </xdr:pic>
    <xdr:clientData/>
  </xdr:twoCellAnchor>
  <xdr:twoCellAnchor>
    <xdr:from>
      <xdr:col>0</xdr:col>
      <xdr:colOff>52916</xdr:colOff>
      <xdr:row>7</xdr:row>
      <xdr:rowOff>0</xdr:rowOff>
    </xdr:from>
    <xdr:to>
      <xdr:col>3</xdr:col>
      <xdr:colOff>1386417</xdr:colOff>
      <xdr:row>11</xdr:row>
      <xdr:rowOff>42334</xdr:rowOff>
    </xdr:to>
    <xdr:sp macro="" textlink="">
      <xdr:nvSpPr>
        <xdr:cNvPr id="8" name="TextBox 7">
          <a:extLst>
            <a:ext uri="{FF2B5EF4-FFF2-40B4-BE49-F238E27FC236}">
              <a16:creationId xmlns:a16="http://schemas.microsoft.com/office/drawing/2014/main" id="{9E63EDCE-CA23-4466-AC74-87DCA4E532A4}"/>
            </a:ext>
          </a:extLst>
        </xdr:cNvPr>
        <xdr:cNvSpPr txBox="1"/>
      </xdr:nvSpPr>
      <xdr:spPr>
        <a:xfrm>
          <a:off x="52916" y="1397000"/>
          <a:ext cx="8153401" cy="778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Sec 26.2 of the Development Charges Act, 1997 locks-in the applicable development charge for a building permit to the related site plan or zoning by-law application. Municipalities are permitted to charge interest from the planning application date to the time of building permit issuance. City of Hamilton Council has adopted the Bank of Canada Prime rate as the rate for calculating interest with semi annual increments. Only applies to planning applications dated Jan 1, 2020 or later.</a:t>
          </a:r>
        </a:p>
      </xdr:txBody>
    </xdr:sp>
    <xdr:clientData/>
  </xdr:twoCellAnchor>
  <xdr:twoCellAnchor>
    <xdr:from>
      <xdr:col>0</xdr:col>
      <xdr:colOff>52916</xdr:colOff>
      <xdr:row>11</xdr:row>
      <xdr:rowOff>84667</xdr:rowOff>
    </xdr:from>
    <xdr:to>
      <xdr:col>3</xdr:col>
      <xdr:colOff>1386417</xdr:colOff>
      <xdr:row>14</xdr:row>
      <xdr:rowOff>10583</xdr:rowOff>
    </xdr:to>
    <xdr:sp macro="" textlink="">
      <xdr:nvSpPr>
        <xdr:cNvPr id="9" name="TextBox 8">
          <a:extLst>
            <a:ext uri="{FF2B5EF4-FFF2-40B4-BE49-F238E27FC236}">
              <a16:creationId xmlns:a16="http://schemas.microsoft.com/office/drawing/2014/main" id="{0442F2C7-F0EB-43EC-9447-96528E40C7CE}"/>
            </a:ext>
          </a:extLst>
        </xdr:cNvPr>
        <xdr:cNvSpPr txBox="1"/>
      </xdr:nvSpPr>
      <xdr:spPr>
        <a:xfrm>
          <a:off x="52916" y="2218267"/>
          <a:ext cx="8153401" cy="57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HOW TO USE</a:t>
          </a:r>
        </a:p>
        <a:p>
          <a:r>
            <a:rPr lang="en-CA" sz="1100"/>
            <a:t>Use the applicable City of Hamilton DC Rate pamphlet to calculate the DC at the time of planning application and use this sheet to determine the interest that shall be applied to the time of building permit issuance. </a:t>
          </a:r>
          <a:r>
            <a:rPr lang="en-CA" sz="1100" b="1"/>
            <a:t>Please populate</a:t>
          </a:r>
          <a:r>
            <a:rPr lang="en-CA" sz="1100" b="1" baseline="0"/>
            <a:t> the blue highlighted cells below.</a:t>
          </a:r>
          <a:endParaRPr lang="en-CA"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FINANCIAL%20PLANNING%20AND%20POLICY\DCPP\DC%20-%20Estimates\125%20Redfern%20Avenue%20-%20St%20Peters%20LTC%20Expansion\125%20Redfern%20Ave%20Inter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BROOKE\Desktop\DC%20New%20Tool%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Development%20Charges%20Estimate%20Tool%20-%20Updated%2016-Dec-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terest Calculation"/>
      <sheetName val="chartered_bank_interest"/>
    </sheetNames>
    <sheetDataSet>
      <sheetData sheetId="0">
        <row r="14">
          <cell r="B14"/>
          <cell r="C14"/>
          <cell r="D14"/>
        </row>
        <row r="27">
          <cell r="D27"/>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Data Set"/>
      <sheetName val="AMANDA Exports"/>
      <sheetName val="Service Components"/>
      <sheetName val="Service Components - New"/>
      <sheetName val="EDCs"/>
      <sheetName val="Monthly Review"/>
      <sheetName val="Monthly Correcting Entries"/>
      <sheetName val="DC New Tool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Navigation"/>
      <sheetName val="(H) Letter"/>
      <sheetName val="(H) Rates"/>
      <sheetName val="(H) BoC Interest"/>
      <sheetName val="Estimate Tool"/>
      <sheetName val="Interest Calculation"/>
      <sheetName val="2-Step Intensification"/>
      <sheetName val="Intensification Usage"/>
    </sheetNames>
    <sheetDataSet>
      <sheetData sheetId="0">
        <row r="14">
          <cell r="I14" t="str">
            <v>Ancaster</v>
          </cell>
        </row>
        <row r="15">
          <cell r="I15" t="str">
            <v>Dundas</v>
          </cell>
        </row>
        <row r="16">
          <cell r="I16" t="str">
            <v>Flamborough</v>
          </cell>
        </row>
        <row r="17">
          <cell r="I17" t="str">
            <v>Glanbrook</v>
          </cell>
        </row>
        <row r="18">
          <cell r="I18" t="str">
            <v>Hamilton</v>
          </cell>
        </row>
        <row r="19">
          <cell r="I19" t="str">
            <v>Stoney Creek</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1E612E-6ADB-465E-A1B7-1ABFB9C07112}" name="Table2" displayName="Table2" ref="A1:A5" totalsRowShown="0" headerRowDxfId="13">
  <autoFilter ref="A1:A5" xr:uid="{8C5D2B96-075F-4E49-853B-108B583B9407}"/>
  <tableColumns count="1">
    <tableColumn id="1" xr3:uid="{96C71D14-4F98-4F9B-AF4D-0FE6FC3AB9D5}" name="Type"/>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77E092-CF6A-472E-8B3F-4E235743D149}" name="Table3" displayName="Table3" ref="C1:C6" totalsRowShown="0" headerRowDxfId="12">
  <autoFilter ref="C1:C6" xr:uid="{6D374186-9AD0-4688-9C56-A11D0E3494B6}"/>
  <tableColumns count="1">
    <tableColumn id="1" xr3:uid="{8A596507-678B-4AF2-89C6-5A612E967370}" name="Location"/>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5DD073-AEED-44F6-A1DB-1C37A3362525}" name="Table1" displayName="Table1" ref="O1:Q7" totalsRowShown="0" headerRowDxfId="11">
  <autoFilter ref="O1:Q7" xr:uid="{5684ED55-BB39-466F-89D1-F1BEF6AE92B5}"/>
  <tableColumns count="3">
    <tableColumn id="1" xr3:uid="{AB3B9AAE-6FA7-4BC4-AF54-D1D1E5449521}" name="Statutory Exemptions"/>
    <tableColumn id="2" xr3:uid="{46C8D151-0E14-4836-B1DE-C15789359306}" name="Exemption" dataDxfId="10"/>
    <tableColumn id="3" xr3:uid="{9402F3E8-EF33-484C-835D-4742DCFC90CE}" name="Type of Development"/>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4ADC8AB-7DEF-45E6-8BCE-DFFAC5A0E704}" name="Table4" displayName="Table4" ref="R1:Z42" totalsRowShown="0" headerRowDxfId="9">
  <autoFilter ref="R1:Z42" xr:uid="{EABD134F-F78C-47FA-BB12-5EA4F4B47D07}"/>
  <tableColumns count="9">
    <tableColumn id="1" xr3:uid="{D9F73E27-D4B0-4BBD-9944-B2B503B48272}" name="Manual Discretionary Exemptions" dataDxfId="8"/>
    <tableColumn id="3" xr3:uid="{9634B4C7-7C76-4988-9CA1-9A012FE92A64}" name="Exemption" dataDxfId="7"/>
    <tableColumn id="4" xr3:uid="{2B4BAA5C-856E-46AE-93B5-AE0E2EFE91FF}" name="Type of Development" dataDxfId="6"/>
    <tableColumn id="9" xr3:uid="{FDC2E335-550B-4FB7-BD2F-6AC9971DFFC7}" name="Type" dataDxfId="5"/>
    <tableColumn id="2" xr3:uid="{9853FC5E-F3C8-4415-B1D3-74DA6A763B15}" name="CITY DCs" dataDxfId="4"/>
    <tableColumn id="5" xr3:uid="{C62EF002-478B-4184-874E-36447EF131B9}" name="GO TRANSIT" dataDxfId="3"/>
    <tableColumn id="6" xr3:uid="{E7DD0759-3E60-46AE-9F3B-192B8FFB0277}" name="PUBLIC EDC" dataDxfId="2"/>
    <tableColumn id="7" xr3:uid="{E9199667-230B-47E4-9DA8-DC5A04DD73F9}" name="CATHOLIC EDC" dataDxfId="1"/>
    <tableColumn id="8" xr3:uid="{EBA8E40B-5FB2-4784-BBC2-83D3C6F38C39}" name="DUN/WAT SAC"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ABROOKE/Content.Outlook/tmiri/AppData/Roaming/Microsoft/Excel/Bylaws/2019%20Bylaw/Draft%20By-law/x.%20Schedule%20H.docx" TargetMode="External"/><Relationship Id="rId3" Type="http://schemas.openxmlformats.org/officeDocument/2006/relationships/hyperlink" Target="http://www.mtc.gov.on.ca/en/heritage/heritage_designation.shtml" TargetMode="External"/><Relationship Id="rId7" Type="http://schemas.openxmlformats.org/officeDocument/2006/relationships/hyperlink" Target="../../ABROOKE/Content.Outlook/tmiri/AppData/Roaming/Microsoft/Excel/Bylaws/2019%20Bylaw/Draft%20By-law/x.%20Schedule%20G.docx" TargetMode="External"/><Relationship Id="rId12" Type="http://schemas.openxmlformats.org/officeDocument/2006/relationships/printerSettings" Target="../printerSettings/printerSettings1.bin"/><Relationship Id="rId2" Type="http://schemas.openxmlformats.org/officeDocument/2006/relationships/hyperlink" Target="http://spatialsolutions.maps.arcgis.com/apps/webappviewer/index.html?id=ef361312714b4caa863016bba9e6e68f" TargetMode="External"/><Relationship Id="rId1" Type="http://schemas.openxmlformats.org/officeDocument/2006/relationships/hyperlink" Target="https://spatialsolutions.maps.arcgis.com/apps/webappviewer/index.html?id=ae2d0e2636ee48db825cc9454cf745de" TargetMode="External"/><Relationship Id="rId6" Type="http://schemas.openxmlformats.org/officeDocument/2006/relationships/hyperlink" Target="../../ABROOKE/Content.Outlook/tmiri/AppData/Roaming/Microsoft/Excel/Bylaws/2019%20Bylaw/Draft%20By-law/x.%20Schedule%20F.docx" TargetMode="External"/><Relationship Id="rId11" Type="http://schemas.openxmlformats.org/officeDocument/2006/relationships/hyperlink" Target="https://spatialsolutions.maps.arcgis.com/apps/webappviewer/index.html?id=ba1abd138dec42e9bb5e3b48d2139aa4" TargetMode="External"/><Relationship Id="rId5" Type="http://schemas.openxmlformats.org/officeDocument/2006/relationships/hyperlink" Target="../../ABROOKE/Content.Outlook/tmiri/AppData/Roaming/Microsoft/Excel/Bylaws/2019%20Bylaw/Draft%20By-law/x.%20Schedule%20D.docx" TargetMode="External"/><Relationship Id="rId10" Type="http://schemas.openxmlformats.org/officeDocument/2006/relationships/hyperlink" Target="https://spatialsolutions.maps.arcgis.com/apps/webappviewer/index.html?id=a8f1efc3c3e14823bfb937c6691f4a8f" TargetMode="External"/><Relationship Id="rId4" Type="http://schemas.openxmlformats.org/officeDocument/2006/relationships/hyperlink" Target="https://spatialsolutions.maps.arcgis.com/apps/webappviewer/index.html?id=a8f1efc3c3e14823bfb937c6691f4a8f" TargetMode="External"/><Relationship Id="rId9" Type="http://schemas.openxmlformats.org/officeDocument/2006/relationships/hyperlink" Target="https://spatialsolutions.maps.arcgis.com/apps/webappviewer/index.html?id=ae2d0e2636ee48db825cc9454cf745de"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 Id="rId5" Type="http://schemas.openxmlformats.org/officeDocument/2006/relationships/table" Target="../tables/table4.xml"/><Relationship Id="rId4"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ABROOKE/Content.Outlook/tmiri/AppData/Roaming/Microsoft/Excel/Bylaws/2019%20Bylaw/Draft%20By-law/x.%20Schedule%20H.docx" TargetMode="External"/><Relationship Id="rId13" Type="http://schemas.openxmlformats.org/officeDocument/2006/relationships/drawing" Target="../drawings/drawing1.xml"/><Relationship Id="rId3" Type="http://schemas.openxmlformats.org/officeDocument/2006/relationships/hyperlink" Target="http://www.mtc.gov.on.ca/en/heritage/heritage_designation.shtml" TargetMode="External"/><Relationship Id="rId7" Type="http://schemas.openxmlformats.org/officeDocument/2006/relationships/hyperlink" Target="../../ABROOKE/Content.Outlook/tmiri/AppData/Roaming/Microsoft/Excel/Bylaws/2019%20Bylaw/Draft%20By-law/x.%20Schedule%20G.docx" TargetMode="External"/><Relationship Id="rId12" Type="http://schemas.openxmlformats.org/officeDocument/2006/relationships/printerSettings" Target="../printerSettings/printerSettings2.bin"/><Relationship Id="rId2" Type="http://schemas.openxmlformats.org/officeDocument/2006/relationships/hyperlink" Target="http://spatialsolutions.maps.arcgis.com/apps/webappviewer/index.html?id=ef361312714b4caa863016bba9e6e68f" TargetMode="External"/><Relationship Id="rId1" Type="http://schemas.openxmlformats.org/officeDocument/2006/relationships/hyperlink" Target="https://spatialsolutions.maps.arcgis.com/apps/webappviewer/index.html?id=ae2d0e2636ee48db825cc9454cf745de" TargetMode="External"/><Relationship Id="rId6" Type="http://schemas.openxmlformats.org/officeDocument/2006/relationships/hyperlink" Target="../../ABROOKE/Content.Outlook/tmiri/AppData/Roaming/Microsoft/Excel/Bylaws/2019%20Bylaw/Draft%20By-law/x.%20Schedule%20F.docx" TargetMode="External"/><Relationship Id="rId11" Type="http://schemas.openxmlformats.org/officeDocument/2006/relationships/hyperlink" Target="https://spatialsolutions.maps.arcgis.com/apps/webappviewer/index.html?id=ba1abd138dec42e9bb5e3b48d2139aa4" TargetMode="External"/><Relationship Id="rId5" Type="http://schemas.openxmlformats.org/officeDocument/2006/relationships/hyperlink" Target="../../ABROOKE/Content.Outlook/tmiri/AppData/Roaming/Microsoft/Excel/Bylaws/2019%20Bylaw/Draft%20By-law/x.%20Schedule%20D.docx" TargetMode="External"/><Relationship Id="rId10" Type="http://schemas.openxmlformats.org/officeDocument/2006/relationships/hyperlink" Target="https://spatialsolutions.maps.arcgis.com/apps/webappviewer/index.html?id=a8f1efc3c3e14823bfb937c6691f4a8f" TargetMode="External"/><Relationship Id="rId4" Type="http://schemas.openxmlformats.org/officeDocument/2006/relationships/hyperlink" Target="https://spatialsolutions.maps.arcgis.com/apps/webappviewer/index.html?id=a8f1efc3c3e14823bfb937c6691f4a8f" TargetMode="External"/><Relationship Id="rId9" Type="http://schemas.openxmlformats.org/officeDocument/2006/relationships/hyperlink" Target="https://spatialsolutions.maps.arcgis.com/apps/webappviewer/index.html?id=ae2d0e2636ee48db825cc9454cf745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9D6-4659-431C-8E65-852B760E1281}">
  <sheetPr codeName="Sheet1"/>
  <dimension ref="A1:G44"/>
  <sheetViews>
    <sheetView workbookViewId="0">
      <selection activeCell="A8" sqref="A8"/>
    </sheetView>
  </sheetViews>
  <sheetFormatPr defaultColWidth="9.1796875" defaultRowHeight="14.5" x14ac:dyDescent="0.35"/>
  <cols>
    <col min="1" max="1" width="7.1796875" style="8" bestFit="1" customWidth="1"/>
    <col min="2" max="2" width="20.81640625" style="8" customWidth="1"/>
    <col min="3" max="3" width="25.453125" style="90" customWidth="1"/>
    <col min="4" max="4" width="16.26953125" style="90" bestFit="1" customWidth="1"/>
    <col min="5" max="5" width="36.7265625" style="8" customWidth="1"/>
    <col min="6" max="6" width="38.26953125" style="8" bestFit="1" customWidth="1"/>
    <col min="7" max="7" width="52.54296875" style="8" bestFit="1" customWidth="1"/>
    <col min="8" max="16384" width="9.1796875" style="8"/>
  </cols>
  <sheetData>
    <row r="1" spans="1:7" ht="26" x14ac:dyDescent="0.35">
      <c r="A1" s="547" t="s">
        <v>249</v>
      </c>
      <c r="B1" s="548"/>
      <c r="C1" s="548"/>
      <c r="D1" s="548"/>
      <c r="E1" s="548"/>
      <c r="F1" s="548"/>
      <c r="G1" s="549"/>
    </row>
    <row r="2" spans="1:7" x14ac:dyDescent="0.35">
      <c r="A2" s="105" t="s">
        <v>263</v>
      </c>
      <c r="B2" s="105" t="s">
        <v>254</v>
      </c>
      <c r="C2" s="105" t="s">
        <v>206</v>
      </c>
      <c r="D2" s="105" t="s">
        <v>240</v>
      </c>
      <c r="E2" s="105" t="s">
        <v>207</v>
      </c>
      <c r="F2" s="105" t="s">
        <v>208</v>
      </c>
      <c r="G2" s="105" t="s">
        <v>210</v>
      </c>
    </row>
    <row r="3" spans="1:7" x14ac:dyDescent="0.35">
      <c r="A3" s="96" t="s">
        <v>250</v>
      </c>
      <c r="B3" s="96" t="s">
        <v>255</v>
      </c>
      <c r="C3" s="95" t="s">
        <v>217</v>
      </c>
      <c r="D3" s="95" t="s">
        <v>241</v>
      </c>
      <c r="E3" s="96" t="s">
        <v>211</v>
      </c>
      <c r="F3" s="96" t="s">
        <v>227</v>
      </c>
      <c r="G3" s="96"/>
    </row>
    <row r="4" spans="1:7" x14ac:dyDescent="0.35">
      <c r="A4" s="96" t="s">
        <v>251</v>
      </c>
      <c r="B4" s="96" t="s">
        <v>270</v>
      </c>
      <c r="C4" s="97" t="s">
        <v>267</v>
      </c>
      <c r="D4" s="97" t="s">
        <v>241</v>
      </c>
      <c r="E4" s="96" t="s">
        <v>211</v>
      </c>
      <c r="F4" s="96" t="s">
        <v>268</v>
      </c>
      <c r="G4" s="96"/>
    </row>
    <row r="5" spans="1:7" x14ac:dyDescent="0.35">
      <c r="A5" s="96" t="s">
        <v>251</v>
      </c>
      <c r="B5" s="96" t="s">
        <v>270</v>
      </c>
      <c r="C5" s="97" t="s">
        <v>267</v>
      </c>
      <c r="D5" s="97" t="s">
        <v>241</v>
      </c>
      <c r="E5" s="96" t="s">
        <v>211</v>
      </c>
      <c r="F5" s="96" t="s">
        <v>269</v>
      </c>
      <c r="G5" s="96"/>
    </row>
    <row r="6" spans="1:7" x14ac:dyDescent="0.35">
      <c r="A6" s="96" t="s">
        <v>250</v>
      </c>
      <c r="B6" s="96" t="s">
        <v>255</v>
      </c>
      <c r="C6" s="95" t="s">
        <v>218</v>
      </c>
      <c r="D6" s="95" t="s">
        <v>241</v>
      </c>
      <c r="E6" s="96" t="s">
        <v>231</v>
      </c>
      <c r="F6" s="96" t="s">
        <v>232</v>
      </c>
      <c r="G6" s="96"/>
    </row>
    <row r="7" spans="1:7" x14ac:dyDescent="0.35">
      <c r="A7" s="96" t="s">
        <v>250</v>
      </c>
      <c r="B7" s="96" t="s">
        <v>255</v>
      </c>
      <c r="C7" s="95" t="s">
        <v>219</v>
      </c>
      <c r="D7" s="102"/>
      <c r="E7" s="103"/>
      <c r="F7" s="103"/>
      <c r="G7" s="104" t="s">
        <v>233</v>
      </c>
    </row>
    <row r="8" spans="1:7" x14ac:dyDescent="0.35">
      <c r="A8" s="96" t="s">
        <v>250</v>
      </c>
      <c r="B8" s="96" t="s">
        <v>256</v>
      </c>
      <c r="C8" s="95" t="s">
        <v>216</v>
      </c>
      <c r="D8" s="95" t="s">
        <v>241</v>
      </c>
      <c r="E8" s="96" t="s">
        <v>235</v>
      </c>
      <c r="F8" s="96" t="s">
        <v>236</v>
      </c>
      <c r="G8" s="96"/>
    </row>
    <row r="9" spans="1:7" x14ac:dyDescent="0.35">
      <c r="A9" s="96" t="s">
        <v>250</v>
      </c>
      <c r="B9" s="96" t="s">
        <v>271</v>
      </c>
      <c r="C9" s="95" t="s">
        <v>215</v>
      </c>
      <c r="D9" s="95" t="s">
        <v>241</v>
      </c>
      <c r="E9" s="96" t="s">
        <v>211</v>
      </c>
      <c r="F9" s="96" t="s">
        <v>234</v>
      </c>
      <c r="G9" s="96"/>
    </row>
    <row r="10" spans="1:7" x14ac:dyDescent="0.35">
      <c r="A10" s="96" t="s">
        <v>250</v>
      </c>
      <c r="B10" s="96" t="s">
        <v>257</v>
      </c>
      <c r="C10" s="95" t="s">
        <v>209</v>
      </c>
      <c r="D10" s="102" t="s">
        <v>242</v>
      </c>
      <c r="E10" s="103" t="s">
        <v>248</v>
      </c>
      <c r="F10" s="103" t="s">
        <v>253</v>
      </c>
      <c r="G10" s="104" t="s">
        <v>275</v>
      </c>
    </row>
    <row r="11" spans="1:7" x14ac:dyDescent="0.35">
      <c r="A11" s="550" t="s">
        <v>250</v>
      </c>
      <c r="B11" s="550" t="s">
        <v>260</v>
      </c>
      <c r="C11" s="545" t="s">
        <v>213</v>
      </c>
      <c r="D11" s="545" t="s">
        <v>241</v>
      </c>
      <c r="E11" s="546" t="s">
        <v>211</v>
      </c>
      <c r="F11" s="96" t="s">
        <v>225</v>
      </c>
      <c r="G11" s="96"/>
    </row>
    <row r="12" spans="1:7" x14ac:dyDescent="0.35">
      <c r="A12" s="551"/>
      <c r="B12" s="551"/>
      <c r="C12" s="545"/>
      <c r="D12" s="545"/>
      <c r="E12" s="546"/>
      <c r="F12" s="96" t="s">
        <v>226</v>
      </c>
      <c r="G12" s="96"/>
    </row>
    <row r="13" spans="1:7" ht="58" x14ac:dyDescent="0.35">
      <c r="A13" s="96" t="s">
        <v>250</v>
      </c>
      <c r="B13" s="106" t="s">
        <v>261</v>
      </c>
      <c r="C13" s="95" t="s">
        <v>214</v>
      </c>
      <c r="D13" s="95" t="s">
        <v>242</v>
      </c>
      <c r="E13" s="96" t="s">
        <v>239</v>
      </c>
      <c r="F13" s="96" t="s">
        <v>243</v>
      </c>
      <c r="G13" s="106" t="s">
        <v>282</v>
      </c>
    </row>
    <row r="14" spans="1:7" ht="58" x14ac:dyDescent="0.35">
      <c r="A14" s="96" t="s">
        <v>251</v>
      </c>
      <c r="B14" s="106" t="s">
        <v>261</v>
      </c>
      <c r="C14" s="108" t="s">
        <v>281</v>
      </c>
      <c r="D14" s="107" t="s">
        <v>241</v>
      </c>
      <c r="E14" s="96" t="s">
        <v>239</v>
      </c>
      <c r="F14" s="96" t="s">
        <v>278</v>
      </c>
      <c r="G14" s="96"/>
    </row>
    <row r="15" spans="1:7" ht="58" x14ac:dyDescent="0.35">
      <c r="A15" s="96" t="s">
        <v>251</v>
      </c>
      <c r="B15" s="106" t="s">
        <v>261</v>
      </c>
      <c r="C15" s="108" t="s">
        <v>280</v>
      </c>
      <c r="D15" s="107" t="s">
        <v>241</v>
      </c>
      <c r="E15" s="96" t="s">
        <v>239</v>
      </c>
      <c r="F15" s="96" t="s">
        <v>279</v>
      </c>
      <c r="G15" s="96"/>
    </row>
    <row r="16" spans="1:7" ht="43.5" x14ac:dyDescent="0.35">
      <c r="A16" s="96" t="s">
        <v>251</v>
      </c>
      <c r="B16" s="106" t="s">
        <v>261</v>
      </c>
      <c r="C16" s="108" t="s">
        <v>277</v>
      </c>
      <c r="D16" s="107" t="s">
        <v>241</v>
      </c>
      <c r="E16" s="96" t="s">
        <v>239</v>
      </c>
      <c r="F16" s="96" t="s">
        <v>276</v>
      </c>
      <c r="G16" s="96"/>
    </row>
    <row r="17" spans="1:7" x14ac:dyDescent="0.35">
      <c r="A17" s="96"/>
      <c r="B17" s="96"/>
      <c r="C17" s="97"/>
      <c r="D17" s="97"/>
      <c r="E17" s="96"/>
      <c r="F17" s="96"/>
      <c r="G17" s="96"/>
    </row>
    <row r="18" spans="1:7" x14ac:dyDescent="0.35">
      <c r="A18" s="96" t="s">
        <v>251</v>
      </c>
      <c r="B18" s="96" t="s">
        <v>258</v>
      </c>
      <c r="C18" s="95" t="s">
        <v>237</v>
      </c>
      <c r="D18" s="95" t="s">
        <v>241</v>
      </c>
      <c r="E18" s="96" t="s">
        <v>235</v>
      </c>
      <c r="F18" s="96" t="s">
        <v>238</v>
      </c>
      <c r="G18" s="96"/>
    </row>
    <row r="19" spans="1:7" x14ac:dyDescent="0.35">
      <c r="A19" s="96" t="s">
        <v>251</v>
      </c>
      <c r="B19" s="96" t="s">
        <v>258</v>
      </c>
      <c r="C19" s="95" t="s">
        <v>212</v>
      </c>
      <c r="D19" s="95" t="s">
        <v>241</v>
      </c>
      <c r="E19" s="96" t="s">
        <v>211</v>
      </c>
      <c r="F19" s="96" t="s">
        <v>224</v>
      </c>
      <c r="G19" s="96"/>
    </row>
    <row r="20" spans="1:7" x14ac:dyDescent="0.35">
      <c r="A20" s="96" t="s">
        <v>251</v>
      </c>
      <c r="B20" s="96" t="s">
        <v>259</v>
      </c>
      <c r="C20" s="97" t="s">
        <v>252</v>
      </c>
      <c r="D20" s="97" t="s">
        <v>241</v>
      </c>
      <c r="E20" s="96" t="s">
        <v>211</v>
      </c>
      <c r="F20" s="96" t="s">
        <v>252</v>
      </c>
      <c r="G20" s="96"/>
    </row>
    <row r="21" spans="1:7" ht="29" x14ac:dyDescent="0.35">
      <c r="A21" s="96" t="s">
        <v>251</v>
      </c>
      <c r="B21" s="106" t="s">
        <v>266</v>
      </c>
      <c r="C21" s="97" t="s">
        <v>264</v>
      </c>
      <c r="D21" s="97" t="s">
        <v>241</v>
      </c>
      <c r="E21" s="96" t="s">
        <v>211</v>
      </c>
      <c r="F21" s="96" t="s">
        <v>265</v>
      </c>
      <c r="G21" s="96"/>
    </row>
    <row r="22" spans="1:7" x14ac:dyDescent="0.35">
      <c r="A22" s="96" t="s">
        <v>251</v>
      </c>
      <c r="B22" s="106" t="s">
        <v>259</v>
      </c>
      <c r="C22" s="97" t="s">
        <v>274</v>
      </c>
      <c r="D22" s="97" t="s">
        <v>241</v>
      </c>
      <c r="E22" s="96" t="s">
        <v>230</v>
      </c>
      <c r="F22" s="96" t="s">
        <v>274</v>
      </c>
      <c r="G22" s="96"/>
    </row>
    <row r="23" spans="1:7" x14ac:dyDescent="0.35">
      <c r="A23" s="96"/>
      <c r="B23" s="96"/>
      <c r="C23" s="97"/>
      <c r="D23" s="97"/>
      <c r="E23" s="96"/>
      <c r="F23" s="96"/>
      <c r="G23" s="96"/>
    </row>
    <row r="24" spans="1:7" x14ac:dyDescent="0.35">
      <c r="A24" s="96" t="s">
        <v>251</v>
      </c>
      <c r="B24" s="96" t="s">
        <v>262</v>
      </c>
      <c r="C24" s="95" t="s">
        <v>220</v>
      </c>
      <c r="D24" s="95" t="s">
        <v>242</v>
      </c>
      <c r="E24" s="96" t="s">
        <v>239</v>
      </c>
      <c r="F24" s="96" t="s">
        <v>244</v>
      </c>
      <c r="G24" s="96" t="s">
        <v>245</v>
      </c>
    </row>
    <row r="25" spans="1:7" x14ac:dyDescent="0.35">
      <c r="A25" s="96" t="s">
        <v>251</v>
      </c>
      <c r="B25" s="96" t="s">
        <v>262</v>
      </c>
      <c r="C25" s="95" t="s">
        <v>221</v>
      </c>
      <c r="D25" s="100" t="s">
        <v>241</v>
      </c>
      <c r="E25" s="101" t="s">
        <v>235</v>
      </c>
      <c r="F25" s="101" t="s">
        <v>246</v>
      </c>
      <c r="G25" s="101" t="s">
        <v>247</v>
      </c>
    </row>
    <row r="26" spans="1:7" x14ac:dyDescent="0.35">
      <c r="A26" s="96"/>
      <c r="B26" s="96"/>
      <c r="C26" s="95"/>
      <c r="D26" s="100"/>
      <c r="E26" s="101"/>
      <c r="F26" s="101"/>
      <c r="G26" s="101"/>
    </row>
    <row r="27" spans="1:7" x14ac:dyDescent="0.35">
      <c r="A27" s="96" t="s">
        <v>251</v>
      </c>
      <c r="B27" s="96" t="s">
        <v>262</v>
      </c>
      <c r="C27" s="95" t="s">
        <v>222</v>
      </c>
      <c r="D27" s="95" t="s">
        <v>241</v>
      </c>
      <c r="E27" s="96" t="s">
        <v>211</v>
      </c>
      <c r="F27" s="98" t="s">
        <v>222</v>
      </c>
      <c r="G27" s="96"/>
    </row>
    <row r="28" spans="1:7" x14ac:dyDescent="0.35">
      <c r="A28" s="96" t="s">
        <v>251</v>
      </c>
      <c r="B28" s="96" t="s">
        <v>262</v>
      </c>
      <c r="C28" s="99" t="s">
        <v>44</v>
      </c>
      <c r="D28" s="95" t="s">
        <v>241</v>
      </c>
      <c r="E28" s="96" t="s">
        <v>211</v>
      </c>
      <c r="F28" s="96" t="s">
        <v>223</v>
      </c>
      <c r="G28" s="96"/>
    </row>
    <row r="29" spans="1:7" ht="29" x14ac:dyDescent="0.35">
      <c r="A29" s="96" t="s">
        <v>251</v>
      </c>
      <c r="B29" s="106" t="s">
        <v>272</v>
      </c>
      <c r="C29" s="99" t="s">
        <v>228</v>
      </c>
      <c r="D29" s="95" t="s">
        <v>241</v>
      </c>
      <c r="E29" s="96" t="s">
        <v>230</v>
      </c>
      <c r="F29" s="99" t="s">
        <v>228</v>
      </c>
      <c r="G29" s="96"/>
    </row>
    <row r="30" spans="1:7" ht="29" x14ac:dyDescent="0.35">
      <c r="A30" s="96" t="s">
        <v>251</v>
      </c>
      <c r="B30" s="106" t="s">
        <v>273</v>
      </c>
      <c r="C30" s="99" t="s">
        <v>229</v>
      </c>
      <c r="D30" s="95" t="s">
        <v>241</v>
      </c>
      <c r="E30" s="96" t="s">
        <v>230</v>
      </c>
      <c r="F30" s="99" t="s">
        <v>229</v>
      </c>
      <c r="G30" s="96"/>
    </row>
    <row r="32" spans="1:7" x14ac:dyDescent="0.35">
      <c r="C32" s="91"/>
      <c r="D32" s="93"/>
    </row>
    <row r="33" spans="3:5" x14ac:dyDescent="0.35">
      <c r="C33" s="91"/>
      <c r="D33" s="93"/>
      <c r="E33" s="88" t="s">
        <v>183</v>
      </c>
    </row>
    <row r="34" spans="3:5" x14ac:dyDescent="0.35">
      <c r="C34" s="92" t="s">
        <v>10</v>
      </c>
      <c r="D34" s="94"/>
      <c r="E34" s="89" t="s">
        <v>159</v>
      </c>
    </row>
    <row r="35" spans="3:5" x14ac:dyDescent="0.35">
      <c r="C35" s="92" t="s">
        <v>165</v>
      </c>
      <c r="D35" s="94"/>
      <c r="E35" s="89" t="s">
        <v>163</v>
      </c>
    </row>
    <row r="36" spans="3:5" x14ac:dyDescent="0.35">
      <c r="C36" s="92"/>
      <c r="D36" s="94"/>
      <c r="E36" s="89" t="s">
        <v>164</v>
      </c>
    </row>
    <row r="37" spans="3:5" x14ac:dyDescent="0.35">
      <c r="C37" s="92" t="s">
        <v>167</v>
      </c>
      <c r="D37" s="94"/>
      <c r="E37" s="89" t="s">
        <v>168</v>
      </c>
    </row>
    <row r="38" spans="3:5" x14ac:dyDescent="0.35">
      <c r="C38" s="92" t="s">
        <v>171</v>
      </c>
      <c r="D38" s="94"/>
      <c r="E38" s="89" t="s">
        <v>172</v>
      </c>
    </row>
    <row r="39" spans="3:5" x14ac:dyDescent="0.35">
      <c r="C39" s="92" t="s">
        <v>166</v>
      </c>
      <c r="D39" s="94"/>
      <c r="E39" s="89" t="s">
        <v>175</v>
      </c>
    </row>
    <row r="40" spans="3:5" x14ac:dyDescent="0.35">
      <c r="C40" s="92" t="s">
        <v>173</v>
      </c>
      <c r="D40" s="94"/>
      <c r="E40" s="89" t="s">
        <v>174</v>
      </c>
    </row>
    <row r="41" spans="3:5" x14ac:dyDescent="0.35">
      <c r="C41" s="92" t="s">
        <v>176</v>
      </c>
      <c r="D41" s="94"/>
      <c r="E41" s="89" t="s">
        <v>177</v>
      </c>
    </row>
    <row r="42" spans="3:5" x14ac:dyDescent="0.35">
      <c r="C42" t="s">
        <v>196</v>
      </c>
      <c r="D42"/>
      <c r="E42" s="79" t="s">
        <v>159</v>
      </c>
    </row>
    <row r="43" spans="3:5" x14ac:dyDescent="0.35">
      <c r="C43" t="s">
        <v>197</v>
      </c>
      <c r="D43" t="s">
        <v>201</v>
      </c>
      <c r="E43" s="79" t="s">
        <v>168</v>
      </c>
    </row>
    <row r="44" spans="3:5" x14ac:dyDescent="0.35">
      <c r="C44" t="s">
        <v>198</v>
      </c>
      <c r="D44" t="s">
        <v>200</v>
      </c>
      <c r="E44" s="79" t="s">
        <v>199</v>
      </c>
    </row>
  </sheetData>
  <mergeCells count="6">
    <mergeCell ref="C11:C12"/>
    <mergeCell ref="E11:E12"/>
    <mergeCell ref="D11:D12"/>
    <mergeCell ref="A1:G1"/>
    <mergeCell ref="B11:B12"/>
    <mergeCell ref="A11:A12"/>
  </mergeCells>
  <hyperlinks>
    <hyperlink ref="E34" r:id="rId1" xr:uid="{B3486BA6-41EE-47C6-996E-81F799BD484F}"/>
    <hyperlink ref="E35" r:id="rId2" xr:uid="{EFA2259B-7816-42A6-89E2-3867B7F68F4B}"/>
    <hyperlink ref="E36" r:id="rId3" xr:uid="{E6634872-5E08-4D7F-8408-0394C645CF81}"/>
    <hyperlink ref="E37" r:id="rId4" xr:uid="{065819B7-67B9-4DE6-885D-ED97156EFCAC}"/>
    <hyperlink ref="E38" r:id="rId5" xr:uid="{EC33EFF0-6D4A-45BD-A9DB-1250C3F00F7F}"/>
    <hyperlink ref="E40" r:id="rId6" xr:uid="{3B8FC91A-8B8A-4C28-AF08-1E2223E70177}"/>
    <hyperlink ref="E39" r:id="rId7" xr:uid="{26F19EFD-1A33-40B6-8F8F-C50D1CD5C70B}"/>
    <hyperlink ref="E41" r:id="rId8" xr:uid="{E575D926-89B3-48B7-9BA5-27AECC7BF789}"/>
    <hyperlink ref="E42" r:id="rId9" xr:uid="{4DF9AFD5-F07D-4EC5-89A4-36E7506FF6B1}"/>
    <hyperlink ref="E43" r:id="rId10" xr:uid="{ECFEBED3-485E-4CE6-B6DD-31DE9EAFFB24}"/>
    <hyperlink ref="E44" r:id="rId11" xr:uid="{54FBC868-5166-4C2B-A637-F094753C12E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B4356-02CF-4D9E-907E-CC8612043A4E}">
  <sheetPr codeName="Sheet3">
    <tabColor theme="1"/>
  </sheetPr>
  <dimension ref="A1:AE67"/>
  <sheetViews>
    <sheetView topLeftCell="R1" zoomScale="85" zoomScaleNormal="85" workbookViewId="0">
      <selection activeCell="V7" sqref="V7"/>
    </sheetView>
  </sheetViews>
  <sheetFormatPr defaultRowHeight="14.5" x14ac:dyDescent="0.35"/>
  <cols>
    <col min="1" max="1" width="14" bestFit="1" customWidth="1"/>
    <col min="3" max="3" width="36" bestFit="1" customWidth="1"/>
    <col min="5" max="8" width="11.26953125" customWidth="1"/>
    <col min="10" max="10" width="24.7265625" bestFit="1" customWidth="1"/>
    <col min="12" max="12" width="16.7265625" style="292" customWidth="1"/>
    <col min="13" max="13" width="18.81640625" style="292" customWidth="1"/>
    <col min="14" max="14" width="18.81640625" customWidth="1"/>
    <col min="15" max="15" width="27.81640625" customWidth="1"/>
    <col min="16" max="16" width="27.81640625" style="292" customWidth="1"/>
    <col min="17" max="18" width="27.81640625" customWidth="1"/>
    <col min="19" max="19" width="24.1796875" customWidth="1"/>
    <col min="20" max="20" width="49.26953125" bestFit="1" customWidth="1"/>
    <col min="21" max="21" width="7.81640625" bestFit="1" customWidth="1"/>
    <col min="22" max="26" width="15.54296875" customWidth="1"/>
  </cols>
  <sheetData>
    <row r="1" spans="1:26" s="4" customFormat="1" x14ac:dyDescent="0.35">
      <c r="A1" s="4" t="s">
        <v>283</v>
      </c>
      <c r="C1" s="4" t="s">
        <v>287</v>
      </c>
      <c r="E1" s="4" t="s">
        <v>355</v>
      </c>
      <c r="J1" s="4" t="s">
        <v>360</v>
      </c>
      <c r="L1" s="205" t="s">
        <v>356</v>
      </c>
      <c r="M1" s="205" t="s">
        <v>354</v>
      </c>
      <c r="N1" s="205" t="s">
        <v>413</v>
      </c>
      <c r="O1" s="205" t="s">
        <v>414</v>
      </c>
      <c r="P1" s="205" t="s">
        <v>356</v>
      </c>
      <c r="Q1" s="205" t="s">
        <v>415</v>
      </c>
      <c r="R1" s="205" t="s">
        <v>429</v>
      </c>
      <c r="S1" s="205" t="s">
        <v>356</v>
      </c>
      <c r="T1" s="205" t="s">
        <v>415</v>
      </c>
      <c r="U1" s="205" t="s">
        <v>283</v>
      </c>
      <c r="V1" s="205" t="s">
        <v>430</v>
      </c>
      <c r="W1" s="205" t="s">
        <v>431</v>
      </c>
      <c r="X1" s="205" t="s">
        <v>432</v>
      </c>
      <c r="Y1" s="205" t="s">
        <v>433</v>
      </c>
      <c r="Z1" s="205" t="s">
        <v>434</v>
      </c>
    </row>
    <row r="2" spans="1:26" x14ac:dyDescent="0.35">
      <c r="A2" t="s">
        <v>179</v>
      </c>
      <c r="C2" t="s">
        <v>472</v>
      </c>
      <c r="E2" t="s">
        <v>358</v>
      </c>
      <c r="F2" t="s">
        <v>359</v>
      </c>
      <c r="G2" t="s">
        <v>356</v>
      </c>
      <c r="H2" t="s">
        <v>357</v>
      </c>
      <c r="J2" s="204">
        <v>44012</v>
      </c>
      <c r="L2" s="98" t="s">
        <v>361</v>
      </c>
      <c r="M2" t="s">
        <v>347</v>
      </c>
      <c r="N2" t="str">
        <f>CONCATENATE(L2,"_",M2)</f>
        <v>Agriculture (Farm Bus. Reg. # Required)_Non-Industrial - New</v>
      </c>
      <c r="O2" t="s">
        <v>416</v>
      </c>
      <c r="P2" s="294" t="s">
        <v>12</v>
      </c>
      <c r="Q2" t="s">
        <v>411</v>
      </c>
      <c r="R2" s="464" t="str">
        <f>CONCATENATE(Table4[[#This Row],[Exemption]],"_",Table4[[#This Row],[Type of Development]])</f>
        <v>Council Granted_Single-Detached &amp; Semi-Detached</v>
      </c>
      <c r="S2" s="98" t="s">
        <v>15</v>
      </c>
      <c r="T2" s="465" t="s">
        <v>411</v>
      </c>
      <c r="U2" s="465" t="s">
        <v>18</v>
      </c>
      <c r="V2"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 s="162">
        <f>INDEX('2020 Rates'!$1:$1048576,MATCH(CLASSIFICATIONS!$C$2,'2020 Rates'!$B:$B,0),MATCH(Table4[[#This Row],[Type of Development]],'2020 Rates'!$4:$4,0))</f>
        <v>273</v>
      </c>
      <c r="X2" s="466">
        <f>INDEX('2020 Rates'!$1:$1048576,MATCH(CLASSIFICATIONS!$D$2,'2020 Rates'!$B:$B,0),MATCH(Table4[[#This Row],[Type of Development]],'2020 Rates'!$4:$4,0))</f>
        <v>1573</v>
      </c>
      <c r="Y2" s="202">
        <f>INDEX('2020 Rates'!$1:$1048576,MATCH(CLASSIFICATIONS!$E$2,'2020 Rates'!$B:$B,0),MATCH(Table4[[#This Row],[Type of Development]],'2020 Rates'!$4:$4,0))</f>
        <v>1101</v>
      </c>
      <c r="Z2" s="162" t="e">
        <f>IF(#REF!&lt;&gt;"",INDEX('2020 Rates'!$1:$1048576,MATCH(CLASSIFICATIONS!$F$2,'2020 Rates'!$B:$B,0),MATCH(Table4[[#This Row],[Type of Development]],'2020 Rates'!$4:$4,0)),0)</f>
        <v>#REF!</v>
      </c>
    </row>
    <row r="3" spans="1:26" x14ac:dyDescent="0.35">
      <c r="A3" t="s">
        <v>284</v>
      </c>
      <c r="C3" t="s">
        <v>473</v>
      </c>
      <c r="E3" s="204">
        <v>43652</v>
      </c>
      <c r="F3" s="204">
        <v>44017</v>
      </c>
      <c r="G3" s="203">
        <v>0.6</v>
      </c>
      <c r="H3" s="203">
        <f>100%-G3</f>
        <v>0.4</v>
      </c>
      <c r="L3" s="98" t="s">
        <v>361</v>
      </c>
      <c r="M3" t="s">
        <v>351</v>
      </c>
      <c r="N3" t="str">
        <f t="shared" ref="N3:N66" si="0">CONCATENATE(L3,"_",M3)</f>
        <v>Agriculture (Farm Bus. Reg. # Required)_Non-Industrial - Expansion</v>
      </c>
      <c r="O3" t="s">
        <v>417</v>
      </c>
      <c r="P3" s="98" t="s">
        <v>12</v>
      </c>
      <c r="Q3" t="s">
        <v>352</v>
      </c>
      <c r="R3" s="464" t="str">
        <f>CONCATENATE(Table4[[#This Row],[Exemption]],"_",Table4[[#This Row],[Type of Development]])</f>
        <v>Council Granted_Apartments, Stacked Towns, Mobile, 2+ BR</v>
      </c>
      <c r="S3" s="98" t="s">
        <v>15</v>
      </c>
      <c r="T3" s="465" t="s">
        <v>352</v>
      </c>
      <c r="U3" s="465" t="s">
        <v>18</v>
      </c>
      <c r="V3"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3" s="162">
        <f>INDEX('2020 Rates'!$1:$1048576,MATCH(CLASSIFICATIONS!$C$2,'2020 Rates'!$B:$B,0),MATCH(Table4[[#This Row],[Type of Development]],'2020 Rates'!$4:$4,0))</f>
        <v>169</v>
      </c>
      <c r="X3" s="466">
        <f>INDEX('2020 Rates'!$1:$1048576,MATCH(CLASSIFICATIONS!$D$2,'2020 Rates'!$B:$B,0),MATCH(Table4[[#This Row],[Type of Development]],'2020 Rates'!$4:$4,0))</f>
        <v>1573</v>
      </c>
      <c r="Y3" s="202">
        <f>INDEX('2020 Rates'!$1:$1048576,MATCH(CLASSIFICATIONS!$E$2,'2020 Rates'!$B:$B,0),MATCH(Table4[[#This Row],[Type of Development]],'2020 Rates'!$4:$4,0))</f>
        <v>1101</v>
      </c>
      <c r="Z3" s="162" t="e">
        <f>IF(#REF!&lt;&gt;"",INDEX('2020 Rates'!$1:$1048576,MATCH(CLASSIFICATIONS!$F$2,'2020 Rates'!$B:$B,0),MATCH(Table4[[#This Row],[Type of Development]],'2020 Rates'!$4:$4,0)),0)</f>
        <v>#REF!</v>
      </c>
    </row>
    <row r="4" spans="1:26" x14ac:dyDescent="0.35">
      <c r="A4" t="s">
        <v>286</v>
      </c>
      <c r="C4" t="s">
        <v>471</v>
      </c>
      <c r="E4" s="204">
        <v>44018</v>
      </c>
      <c r="F4" s="204">
        <v>44382</v>
      </c>
      <c r="G4" s="203">
        <v>0.5</v>
      </c>
      <c r="H4" s="203">
        <f>100%-G4</f>
        <v>0.5</v>
      </c>
      <c r="L4" s="98" t="s">
        <v>15</v>
      </c>
      <c r="M4" t="s">
        <v>411</v>
      </c>
      <c r="N4" t="str">
        <f t="shared" si="0"/>
        <v>Council Granted_Single-Detached &amp; Semi-Detached</v>
      </c>
      <c r="O4" t="s">
        <v>418</v>
      </c>
      <c r="P4" s="98" t="s">
        <v>12</v>
      </c>
      <c r="Q4" t="s">
        <v>412</v>
      </c>
      <c r="R4" s="464" t="str">
        <f>CONCATENATE(Table4[[#This Row],[Exemption]],"_",Table4[[#This Row],[Type of Development]])</f>
        <v>Council Granted_Apartments, Stacked Towns, Mobile, Bachelor, 1 BR</v>
      </c>
      <c r="S4" s="98" t="s">
        <v>15</v>
      </c>
      <c r="T4" s="465" t="s">
        <v>412</v>
      </c>
      <c r="U4" s="465" t="s">
        <v>18</v>
      </c>
      <c r="V4"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4" s="162">
        <f>INDEX('2020 Rates'!$1:$1048576,MATCH(CLASSIFICATIONS!$C$2,'2020 Rates'!$B:$B,0),MATCH(Table4[[#This Row],[Type of Development]],'2020 Rates'!$4:$4,0))</f>
        <v>113</v>
      </c>
      <c r="X4" s="466">
        <f>INDEX('2020 Rates'!$1:$1048576,MATCH(CLASSIFICATIONS!$D$2,'2020 Rates'!$B:$B,0),MATCH(Table4[[#This Row],[Type of Development]],'2020 Rates'!$4:$4,0))</f>
        <v>1573</v>
      </c>
      <c r="Y4" s="202">
        <f>INDEX('2020 Rates'!$1:$1048576,MATCH(CLASSIFICATIONS!$E$2,'2020 Rates'!$B:$B,0),MATCH(Table4[[#This Row],[Type of Development]],'2020 Rates'!$4:$4,0))</f>
        <v>1101</v>
      </c>
      <c r="Z4" s="162" t="e">
        <f>IF(#REF!&lt;&gt;"",INDEX('2020 Rates'!$1:$1048576,MATCH(CLASSIFICATIONS!$F$2,'2020 Rates'!$B:$B,0),MATCH(Table4[[#This Row],[Type of Development]],'2020 Rates'!$4:$4,0)),0)</f>
        <v>#REF!</v>
      </c>
    </row>
    <row r="5" spans="1:26" x14ac:dyDescent="0.35">
      <c r="A5" t="s">
        <v>285</v>
      </c>
      <c r="C5" t="s">
        <v>155</v>
      </c>
      <c r="E5" s="204">
        <v>44383</v>
      </c>
      <c r="F5" s="204">
        <v>44747</v>
      </c>
      <c r="G5" s="203">
        <v>0.4</v>
      </c>
      <c r="H5" s="203">
        <f>100%-G5</f>
        <v>0.6</v>
      </c>
      <c r="L5" s="98" t="s">
        <v>15</v>
      </c>
      <c r="M5" t="s">
        <v>352</v>
      </c>
      <c r="N5" t="str">
        <f t="shared" si="0"/>
        <v>Council Granted_Apartments, Stacked Towns, Mobile, 2+ BR</v>
      </c>
      <c r="O5" t="s">
        <v>419</v>
      </c>
      <c r="P5" s="98" t="s">
        <v>12</v>
      </c>
      <c r="Q5" t="s">
        <v>98</v>
      </c>
      <c r="R5" s="464" t="str">
        <f>CONCATENATE(Table4[[#This Row],[Exemption]],"_",Table4[[#This Row],[Type of Development]])</f>
        <v>Council Granted_Townhouses &amp; Other Multiple Unit Dwellings</v>
      </c>
      <c r="S5" s="98" t="s">
        <v>15</v>
      </c>
      <c r="T5" s="465" t="s">
        <v>98</v>
      </c>
      <c r="U5" s="465" t="s">
        <v>18</v>
      </c>
      <c r="V5"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5" s="162">
        <f>INDEX('2020 Rates'!$1:$1048576,MATCH(CLASSIFICATIONS!$C$2,'2020 Rates'!$B:$B,0),MATCH(Table4[[#This Row],[Type of Development]],'2020 Rates'!$4:$4,0))</f>
        <v>196</v>
      </c>
      <c r="X5" s="466">
        <f>INDEX('2020 Rates'!$1:$1048576,MATCH(CLASSIFICATIONS!$D$2,'2020 Rates'!$B:$B,0),MATCH(Table4[[#This Row],[Type of Development]],'2020 Rates'!$4:$4,0))</f>
        <v>1573</v>
      </c>
      <c r="Y5" s="202">
        <f>INDEX('2020 Rates'!$1:$1048576,MATCH(CLASSIFICATIONS!$E$2,'2020 Rates'!$B:$B,0),MATCH(Table4[[#This Row],[Type of Development]],'2020 Rates'!$4:$4,0))</f>
        <v>1101</v>
      </c>
      <c r="Z5" s="162" t="e">
        <f>IF(#REF!&lt;&gt;"",INDEX('2020 Rates'!$1:$1048576,MATCH(CLASSIFICATIONS!$F$2,'2020 Rates'!$B:$B,0),MATCH(Table4[[#This Row],[Type of Development]],'2020 Rates'!$4:$4,0)),0)</f>
        <v>#REF!</v>
      </c>
    </row>
    <row r="6" spans="1:26" x14ac:dyDescent="0.35">
      <c r="C6" t="s">
        <v>156</v>
      </c>
      <c r="E6" s="204">
        <v>44748</v>
      </c>
      <c r="F6" s="204">
        <v>45112</v>
      </c>
      <c r="G6" s="203">
        <v>0.4</v>
      </c>
      <c r="H6" s="203">
        <f>100%-G6</f>
        <v>0.6</v>
      </c>
      <c r="L6" s="98" t="s">
        <v>15</v>
      </c>
      <c r="M6" t="s">
        <v>412</v>
      </c>
      <c r="N6" t="str">
        <f t="shared" si="0"/>
        <v>Council Granted_Apartments, Stacked Towns, Mobile, Bachelor, 1 BR</v>
      </c>
      <c r="O6" t="s">
        <v>420</v>
      </c>
      <c r="P6" s="98" t="s">
        <v>12</v>
      </c>
      <c r="Q6" t="s">
        <v>353</v>
      </c>
      <c r="R6" s="464" t="str">
        <f>CONCATENATE(Table4[[#This Row],[Exemption]],"_",Table4[[#This Row],[Type of Development]])</f>
        <v>Council Granted_Residential Facility, Lodging House, Garden Suite</v>
      </c>
      <c r="S6" s="98" t="s">
        <v>15</v>
      </c>
      <c r="T6" s="465" t="s">
        <v>353</v>
      </c>
      <c r="U6" s="465" t="s">
        <v>18</v>
      </c>
      <c r="V6"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6" s="162">
        <f>INDEX('2020 Rates'!$1:$1048576,MATCH(CLASSIFICATIONS!$C$2,'2020 Rates'!$B:$B,0),MATCH(Table4[[#This Row],[Type of Development]],'2020 Rates'!$4:$4,0))</f>
        <v>89</v>
      </c>
      <c r="X6" s="466">
        <f>INDEX('2020 Rates'!$1:$1048576,MATCH(CLASSIFICATIONS!$D$2,'2020 Rates'!$B:$B,0),MATCH(Table4[[#This Row],[Type of Development]],'2020 Rates'!$4:$4,0))</f>
        <v>1573</v>
      </c>
      <c r="Y6" s="202">
        <f>INDEX('2020 Rates'!$1:$1048576,MATCH(CLASSIFICATIONS!$E$2,'2020 Rates'!$B:$B,0),MATCH(Table4[[#This Row],[Type of Development]],'2020 Rates'!$4:$4,0))</f>
        <v>1101</v>
      </c>
      <c r="Z6" s="162" t="e">
        <f>IF(#REF!&lt;&gt;"",INDEX('2020 Rates'!$1:$1048576,MATCH(CLASSIFICATIONS!$F$2,'2020 Rates'!$B:$B,0),MATCH(Table4[[#This Row],[Type of Development]],'2020 Rates'!$4:$4,0)),0)</f>
        <v>#REF!</v>
      </c>
    </row>
    <row r="7" spans="1:26" x14ac:dyDescent="0.35">
      <c r="E7" s="204">
        <v>45113</v>
      </c>
      <c r="F7" s="204">
        <v>45478</v>
      </c>
      <c r="G7" s="203">
        <v>0.4</v>
      </c>
      <c r="H7" s="203">
        <f>100%-G7</f>
        <v>0.6</v>
      </c>
      <c r="L7" s="98" t="s">
        <v>15</v>
      </c>
      <c r="M7" t="s">
        <v>98</v>
      </c>
      <c r="N7" t="str">
        <f t="shared" si="0"/>
        <v>Council Granted_Townhouses &amp; Other Multiple Unit Dwellings</v>
      </c>
      <c r="O7" t="s">
        <v>421</v>
      </c>
      <c r="P7" s="98" t="s">
        <v>428</v>
      </c>
      <c r="Q7" t="s">
        <v>348</v>
      </c>
      <c r="R7" s="464" t="str">
        <f>CONCATENATE(Table4[[#This Row],[Exemption]],"_",Table4[[#This Row],[Type of Development]])</f>
        <v>Council Granted_Industrial - New</v>
      </c>
      <c r="S7" s="98" t="s">
        <v>15</v>
      </c>
      <c r="T7" s="465" t="s">
        <v>95</v>
      </c>
      <c r="U7" s="465" t="s">
        <v>477</v>
      </c>
      <c r="V7"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7" s="466">
        <f>INDEX('2020 Rates'!$1:$1048576,MATCH(CLASSIFICATIONS!$C$2,'2020 Rates'!$B:$B,0),MATCH(Table4[[#This Row],[Type of Development]],'2020 Rates'!$4:$4,0))</f>
        <v>0</v>
      </c>
      <c r="X7" s="466">
        <f>INDEX('2020 Rates'!$1:$1048576,MATCH(CLASSIFICATIONS!$D$2,'2020 Rates'!$B:$B,0),MATCH(Table4[[#This Row],[Type of Development]],'2020 Rates'!$4:$4,0))</f>
        <v>0.43</v>
      </c>
      <c r="Y7" s="466">
        <f>INDEX('2020 Rates'!$1:$1048576,MATCH(CLASSIFICATIONS!$E$2,'2020 Rates'!$B:$B,0),MATCH(Table4[[#This Row],[Type of Development]],'2020 Rates'!$4:$4,0))</f>
        <v>0.35</v>
      </c>
      <c r="Z7" s="466" t="e">
        <f>IF(#REF!&lt;&gt;"",INDEX('2020 Rates'!$1:$1048576,MATCH(CLASSIFICATIONS!$F$2,'2020 Rates'!$B:$B,0),MATCH(Table4[[#This Row],[Type of Development]],'2020 Rates'!$4:$4,0)),0)</f>
        <v>#REF!</v>
      </c>
    </row>
    <row r="8" spans="1:26" x14ac:dyDescent="0.35">
      <c r="L8" s="98" t="s">
        <v>15</v>
      </c>
      <c r="M8" t="s">
        <v>353</v>
      </c>
      <c r="N8" t="str">
        <f t="shared" si="0"/>
        <v>Council Granted_Residential Facility, Lodging House, Garden Suite</v>
      </c>
      <c r="R8" s="464" t="str">
        <f>CONCATENATE(Table4[[#This Row],[Exemption]],"_",Table4[[#This Row],[Type of Development]])</f>
        <v>Council Granted_Industrial - Expansion</v>
      </c>
      <c r="S8" s="98" t="s">
        <v>15</v>
      </c>
      <c r="T8" s="465" t="s">
        <v>348</v>
      </c>
      <c r="U8" s="465" t="s">
        <v>477</v>
      </c>
      <c r="V8"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8" s="466">
        <f>INDEX('2020 Rates'!$1:$1048576,MATCH(CLASSIFICATIONS!$C$2,'2020 Rates'!$B:$B,0),MATCH(Table4[[#This Row],[Type of Development]],'2020 Rates'!$4:$4,0))</f>
        <v>0</v>
      </c>
      <c r="X8" s="466">
        <f>INDEX('2020 Rates'!$1:$1048576,MATCH(CLASSIFICATIONS!$D$2,'2020 Rates'!$B:$B,0),MATCH(Table4[[#This Row],[Type of Development]],'2020 Rates'!$4:$4,0))</f>
        <v>0.43</v>
      </c>
      <c r="Y8" s="466">
        <f>INDEX('2020 Rates'!$1:$1048576,MATCH(CLASSIFICATIONS!$E$2,'2020 Rates'!$B:$B,0),MATCH(Table4[[#This Row],[Type of Development]],'2020 Rates'!$4:$4,0))</f>
        <v>0.35</v>
      </c>
      <c r="Z8" s="466" t="e">
        <f>IF(#REF!&lt;&gt;"",INDEX('2020 Rates'!$1:$1048576,MATCH(CLASSIFICATIONS!$F$2,'2020 Rates'!$B:$B,0),MATCH(Table4[[#This Row],[Type of Development]],'2020 Rates'!$4:$4,0)),0)</f>
        <v>#REF!</v>
      </c>
    </row>
    <row r="9" spans="1:26" x14ac:dyDescent="0.35">
      <c r="L9" s="98" t="s">
        <v>15</v>
      </c>
      <c r="M9" t="s">
        <v>95</v>
      </c>
      <c r="N9" t="str">
        <f t="shared" si="0"/>
        <v>Council Granted_Industrial - New</v>
      </c>
      <c r="R9" s="464" t="str">
        <f>CONCATENATE(Table4[[#This Row],[Exemption]],"_",Table4[[#This Row],[Type of Development]])</f>
        <v>Council Granted_Non-Industrial - New</v>
      </c>
      <c r="S9" s="98" t="s">
        <v>15</v>
      </c>
      <c r="T9" s="465" t="s">
        <v>347</v>
      </c>
      <c r="U9" s="465" t="s">
        <v>477</v>
      </c>
      <c r="V9"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9" s="466">
        <f>INDEX('2020 Rates'!$1:$1048576,MATCH(CLASSIFICATIONS!$C$2,'2020 Rates'!$B:$B,0),MATCH(Table4[[#This Row],[Type of Development]],'2020 Rates'!$4:$4,0))</f>
        <v>0</v>
      </c>
      <c r="X9" s="466">
        <f>INDEX('2020 Rates'!$1:$1048576,MATCH(CLASSIFICATIONS!$D$2,'2020 Rates'!$B:$B,0),MATCH(Table4[[#This Row],[Type of Development]],'2020 Rates'!$4:$4,0))</f>
        <v>0.43</v>
      </c>
      <c r="Y9" s="466">
        <f>INDEX('2020 Rates'!$1:$1048576,MATCH(CLASSIFICATIONS!$E$2,'2020 Rates'!$B:$B,0),MATCH(Table4[[#This Row],[Type of Development]],'2020 Rates'!$4:$4,0))</f>
        <v>0.35</v>
      </c>
      <c r="Z9" s="466" t="e">
        <f>IF(#REF!&lt;&gt;"",INDEX('2020 Rates'!$1:$1048576,MATCH(CLASSIFICATIONS!$F$2,'2020 Rates'!$B:$B,0),MATCH(Table4[[#This Row],[Type of Development]],'2020 Rates'!$4:$4,0)),0)</f>
        <v>#REF!</v>
      </c>
    </row>
    <row r="10" spans="1:26" x14ac:dyDescent="0.35">
      <c r="L10" s="98" t="s">
        <v>15</v>
      </c>
      <c r="M10" t="s">
        <v>348</v>
      </c>
      <c r="N10" t="str">
        <f t="shared" si="0"/>
        <v>Council Granted_Industrial - Expansion</v>
      </c>
      <c r="R10" s="464" t="str">
        <f>CONCATENATE(Table4[[#This Row],[Exemption]],"_",Table4[[#This Row],[Type of Development]])</f>
        <v>Council Granted_Non-Industrial - Expansion</v>
      </c>
      <c r="S10" s="98" t="s">
        <v>15</v>
      </c>
      <c r="T10" s="465" t="s">
        <v>351</v>
      </c>
      <c r="U10" s="465" t="s">
        <v>477</v>
      </c>
      <c r="V10"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10" s="466">
        <f>INDEX('2020 Rates'!$1:$1048576,MATCH(CLASSIFICATIONS!$C$2,'2020 Rates'!$B:$B,0),MATCH(Table4[[#This Row],[Type of Development]],'2020 Rates'!$4:$4,0))</f>
        <v>0</v>
      </c>
      <c r="X10" s="466">
        <f>INDEX('2020 Rates'!$1:$1048576,MATCH(CLASSIFICATIONS!$D$2,'2020 Rates'!$B:$B,0),MATCH(Table4[[#This Row],[Type of Development]],'2020 Rates'!$4:$4,0))</f>
        <v>0.43</v>
      </c>
      <c r="Y10" s="466">
        <f>INDEX('2020 Rates'!$1:$1048576,MATCH(CLASSIFICATIONS!$E$2,'2020 Rates'!$B:$B,0),MATCH(Table4[[#This Row],[Type of Development]],'2020 Rates'!$4:$4,0))</f>
        <v>0.35</v>
      </c>
      <c r="Z10" s="466" t="e">
        <f>IF(#REF!&lt;&gt;"",INDEX('2020 Rates'!$1:$1048576,MATCH(CLASSIFICATIONS!$F$2,'2020 Rates'!$B:$B,0),MATCH(Table4[[#This Row],[Type of Development]],'2020 Rates'!$4:$4,0)),0)</f>
        <v>#REF!</v>
      </c>
    </row>
    <row r="11" spans="1:26" x14ac:dyDescent="0.35">
      <c r="L11" s="98" t="s">
        <v>15</v>
      </c>
      <c r="M11" t="s">
        <v>347</v>
      </c>
      <c r="N11" t="str">
        <f t="shared" si="0"/>
        <v>Council Granted_Non-Industrial - New</v>
      </c>
      <c r="R11" s="464" t="str">
        <f>CONCATENATE(Table4[[#This Row],[Exemption]],"_",Table4[[#This Row],[Type of Development]])</f>
        <v>Downtown Public Art_Single-Detached &amp; Semi-Detached</v>
      </c>
      <c r="S11" s="98" t="s">
        <v>13</v>
      </c>
      <c r="T11" s="465" t="s">
        <v>411</v>
      </c>
      <c r="U11" s="465" t="s">
        <v>18</v>
      </c>
      <c r="V11" s="464"/>
      <c r="W11" s="464"/>
      <c r="X11" s="464"/>
      <c r="Y11" s="464"/>
      <c r="Z11" s="464"/>
    </row>
    <row r="12" spans="1:26" x14ac:dyDescent="0.35">
      <c r="L12" s="98" t="s">
        <v>15</v>
      </c>
      <c r="M12" t="s">
        <v>351</v>
      </c>
      <c r="N12" t="str">
        <f t="shared" si="0"/>
        <v>Council Granted_Non-Industrial - Expansion</v>
      </c>
      <c r="R12" s="464" t="str">
        <f>CONCATENATE(Table4[[#This Row],[Exemption]],"_",Table4[[#This Row],[Type of Development]])</f>
        <v>Downtown Public Art_Apartments, Stacked Towns, Mobile, 2+ BR</v>
      </c>
      <c r="S12" s="98" t="s">
        <v>13</v>
      </c>
      <c r="T12" s="465" t="s">
        <v>352</v>
      </c>
      <c r="U12" s="465" t="s">
        <v>18</v>
      </c>
      <c r="V12" s="464"/>
      <c r="W12" s="464"/>
      <c r="X12" s="464"/>
      <c r="Y12" s="464"/>
      <c r="Z12" s="464"/>
    </row>
    <row r="13" spans="1:26" x14ac:dyDescent="0.35">
      <c r="L13" s="98" t="s">
        <v>184</v>
      </c>
      <c r="M13" t="s">
        <v>411</v>
      </c>
      <c r="N13" t="str">
        <f t="shared" si="0"/>
        <v>Downtown CIPA_Single-Detached &amp; Semi-Detached</v>
      </c>
      <c r="R13" s="464" t="str">
        <f>CONCATENATE(Table4[[#This Row],[Exemption]],"_",Table4[[#This Row],[Type of Development]])</f>
        <v>Downtown Public Art_Apartments, Stacked Towns, Mobile, Bachelor, 1 BR</v>
      </c>
      <c r="S13" s="98" t="s">
        <v>13</v>
      </c>
      <c r="T13" s="465" t="s">
        <v>412</v>
      </c>
      <c r="U13" s="465" t="s">
        <v>18</v>
      </c>
      <c r="V13" s="464"/>
      <c r="W13" s="464"/>
      <c r="X13" s="464"/>
      <c r="Y13" s="464"/>
      <c r="Z13" s="464"/>
    </row>
    <row r="14" spans="1:26" x14ac:dyDescent="0.35">
      <c r="L14" s="98" t="s">
        <v>184</v>
      </c>
      <c r="M14" t="s">
        <v>352</v>
      </c>
      <c r="N14" t="str">
        <f t="shared" si="0"/>
        <v>Downtown CIPA_Apartments, Stacked Towns, Mobile, 2+ BR</v>
      </c>
      <c r="R14" s="464" t="str">
        <f>CONCATENATE(Table4[[#This Row],[Exemption]],"_",Table4[[#This Row],[Type of Development]])</f>
        <v>Downtown Public Art_Townhouses &amp; Other Multiple Unit Dwellings</v>
      </c>
      <c r="S14" s="98" t="s">
        <v>13</v>
      </c>
      <c r="T14" s="465" t="s">
        <v>98</v>
      </c>
      <c r="U14" s="465" t="s">
        <v>18</v>
      </c>
      <c r="V14" s="464"/>
      <c r="W14" s="464"/>
      <c r="X14" s="464"/>
      <c r="Y14" s="464"/>
      <c r="Z14" s="464"/>
    </row>
    <row r="15" spans="1:26" x14ac:dyDescent="0.35">
      <c r="L15" s="98" t="s">
        <v>184</v>
      </c>
      <c r="M15" t="s">
        <v>412</v>
      </c>
      <c r="N15" t="str">
        <f t="shared" si="0"/>
        <v>Downtown CIPA_Apartments, Stacked Towns, Mobile, Bachelor, 1 BR</v>
      </c>
      <c r="R15" s="464" t="str">
        <f>CONCATENATE(Table4[[#This Row],[Exemption]],"_",Table4[[#This Row],[Type of Development]])</f>
        <v>Downtown Public Art_Residential Facility, Lodging House, Garden Suite</v>
      </c>
      <c r="S15" s="98" t="s">
        <v>13</v>
      </c>
      <c r="T15" s="465" t="s">
        <v>353</v>
      </c>
      <c r="U15" s="465" t="s">
        <v>18</v>
      </c>
      <c r="V15" s="464"/>
      <c r="W15" s="464"/>
      <c r="X15" s="464"/>
      <c r="Y15" s="464"/>
      <c r="Z15" s="464"/>
    </row>
    <row r="16" spans="1:26" x14ac:dyDescent="0.35">
      <c r="L16" s="98" t="s">
        <v>184</v>
      </c>
      <c r="M16" t="s">
        <v>98</v>
      </c>
      <c r="N16" t="str">
        <f t="shared" si="0"/>
        <v>Downtown CIPA_Townhouses &amp; Other Multiple Unit Dwellings</v>
      </c>
      <c r="R16" s="464" t="str">
        <f>CONCATENATE(Table4[[#This Row],[Exemption]],"_",Table4[[#This Row],[Type of Development]])</f>
        <v>Downtown Public Art_Industrial - New</v>
      </c>
      <c r="S16" s="98" t="s">
        <v>13</v>
      </c>
      <c r="T16" s="465" t="s">
        <v>95</v>
      </c>
      <c r="U16" s="465" t="s">
        <v>477</v>
      </c>
      <c r="V16" s="464"/>
      <c r="W16" s="464"/>
      <c r="X16" s="464"/>
      <c r="Y16" s="464"/>
      <c r="Z16" s="464"/>
    </row>
    <row r="17" spans="12:26" x14ac:dyDescent="0.35">
      <c r="L17" s="98" t="s">
        <v>184</v>
      </c>
      <c r="M17" t="s">
        <v>353</v>
      </c>
      <c r="N17" t="str">
        <f t="shared" si="0"/>
        <v>Downtown CIPA_Residential Facility, Lodging House, Garden Suite</v>
      </c>
      <c r="R17" s="464" t="str">
        <f>CONCATENATE(Table4[[#This Row],[Exemption]],"_",Table4[[#This Row],[Type of Development]])</f>
        <v>Downtown Public Art_Industrial - Expansion</v>
      </c>
      <c r="S17" s="98" t="s">
        <v>13</v>
      </c>
      <c r="T17" s="465" t="s">
        <v>348</v>
      </c>
      <c r="U17" s="465" t="s">
        <v>477</v>
      </c>
      <c r="V17" s="464"/>
      <c r="W17" s="464"/>
      <c r="X17" s="464"/>
      <c r="Y17" s="464"/>
      <c r="Z17" s="464"/>
    </row>
    <row r="18" spans="12:26" x14ac:dyDescent="0.35">
      <c r="L18" s="98" t="s">
        <v>184</v>
      </c>
      <c r="M18" t="s">
        <v>95</v>
      </c>
      <c r="N18" t="str">
        <f t="shared" si="0"/>
        <v>Downtown CIPA_Industrial - New</v>
      </c>
      <c r="R18" s="464" t="str">
        <f>CONCATENATE(Table4[[#This Row],[Exemption]],"_",Table4[[#This Row],[Type of Development]])</f>
        <v>Downtown Public Art_Non-Industrial - New</v>
      </c>
      <c r="S18" s="98" t="s">
        <v>13</v>
      </c>
      <c r="T18" s="465" t="s">
        <v>347</v>
      </c>
      <c r="U18" s="465" t="s">
        <v>477</v>
      </c>
      <c r="V18" s="464"/>
      <c r="W18" s="464"/>
      <c r="X18" s="464"/>
      <c r="Y18" s="464"/>
      <c r="Z18" s="464"/>
    </row>
    <row r="19" spans="12:26" x14ac:dyDescent="0.35">
      <c r="L19" s="98" t="s">
        <v>184</v>
      </c>
      <c r="M19" t="s">
        <v>348</v>
      </c>
      <c r="N19" t="str">
        <f t="shared" si="0"/>
        <v>Downtown CIPA_Industrial - Expansion</v>
      </c>
      <c r="R19" s="464" t="str">
        <f>CONCATENATE(Table4[[#This Row],[Exemption]],"_",Table4[[#This Row],[Type of Development]])</f>
        <v>Downtown Public Art_Non-Industrial - Expansion</v>
      </c>
      <c r="S19" s="98" t="s">
        <v>13</v>
      </c>
      <c r="T19" s="465" t="s">
        <v>351</v>
      </c>
      <c r="U19" s="465" t="s">
        <v>477</v>
      </c>
      <c r="V19" s="464"/>
      <c r="W19" s="464"/>
      <c r="X19" s="464"/>
      <c r="Y19" s="464"/>
      <c r="Z19" s="464"/>
    </row>
    <row r="20" spans="12:26" x14ac:dyDescent="0.35">
      <c r="L20" s="98" t="s">
        <v>184</v>
      </c>
      <c r="M20" t="s">
        <v>347</v>
      </c>
      <c r="N20" t="str">
        <f t="shared" si="0"/>
        <v>Downtown CIPA_Non-Industrial - New</v>
      </c>
      <c r="R20" s="464" t="str">
        <f>CONCATENATE(Table4[[#This Row],[Exemption]],"_",Table4[[#This Row],[Type of Development]])</f>
        <v>Heritage_Single-Detached &amp; Semi-Detached</v>
      </c>
      <c r="S20" s="98" t="s">
        <v>19</v>
      </c>
      <c r="T20" s="465" t="s">
        <v>411</v>
      </c>
      <c r="U20" s="465" t="s">
        <v>18</v>
      </c>
      <c r="V20"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0" s="162">
        <f>INDEX('2020 Rates'!$1:$1048576,MATCH(CLASSIFICATIONS!$C$2,'2020 Rates'!$B:$B,0),MATCH(Table4[[#This Row],[Type of Development]],'2020 Rates'!$4:$4,0))</f>
        <v>273</v>
      </c>
      <c r="X20" s="466">
        <f>INDEX('2020 Rates'!$1:$1048576,MATCH(CLASSIFICATIONS!$D$2,'2020 Rates'!$B:$B,0),MATCH(Table4[[#This Row],[Type of Development]],'2020 Rates'!$4:$4,0))</f>
        <v>1573</v>
      </c>
      <c r="Y20" s="202">
        <f>INDEX('2020 Rates'!$1:$1048576,MATCH(CLASSIFICATIONS!$E$2,'2020 Rates'!$B:$B,0),MATCH(Table4[[#This Row],[Type of Development]],'2020 Rates'!$4:$4,0))</f>
        <v>1101</v>
      </c>
      <c r="Z20" s="162" t="e">
        <f>IF(#REF!&lt;&gt;"",INDEX('2020 Rates'!$1:$1048576,MATCH(CLASSIFICATIONS!$F$2,'2020 Rates'!$B:$B,0),MATCH(Table4[[#This Row],[Type of Development]],'2020 Rates'!$4:$4,0)),0)</f>
        <v>#REF!</v>
      </c>
    </row>
    <row r="21" spans="12:26" x14ac:dyDescent="0.35">
      <c r="L21" s="98" t="s">
        <v>184</v>
      </c>
      <c r="M21" t="s">
        <v>351</v>
      </c>
      <c r="N21" t="str">
        <f t="shared" si="0"/>
        <v>Downtown CIPA_Non-Industrial - Expansion</v>
      </c>
      <c r="R21" s="464" t="str">
        <f>CONCATENATE(Table4[[#This Row],[Exemption]],"_",Table4[[#This Row],[Type of Development]])</f>
        <v>Heritage_Apartments, Stacked Towns, Mobile, 2+ BR</v>
      </c>
      <c r="S21" s="98" t="s">
        <v>19</v>
      </c>
      <c r="T21" s="465" t="s">
        <v>352</v>
      </c>
      <c r="U21" s="465" t="s">
        <v>18</v>
      </c>
      <c r="V21"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1" s="162">
        <f>INDEX('2020 Rates'!$1:$1048576,MATCH(CLASSIFICATIONS!$C$2,'2020 Rates'!$B:$B,0),MATCH(Table4[[#This Row],[Type of Development]],'2020 Rates'!$4:$4,0))</f>
        <v>169</v>
      </c>
      <c r="X21" s="466">
        <f>INDEX('2020 Rates'!$1:$1048576,MATCH(CLASSIFICATIONS!$D$2,'2020 Rates'!$B:$B,0),MATCH(Table4[[#This Row],[Type of Development]],'2020 Rates'!$4:$4,0))</f>
        <v>1573</v>
      </c>
      <c r="Y21" s="202">
        <f>INDEX('2020 Rates'!$1:$1048576,MATCH(CLASSIFICATIONS!$E$2,'2020 Rates'!$B:$B,0),MATCH(Table4[[#This Row],[Type of Development]],'2020 Rates'!$4:$4,0))</f>
        <v>1101</v>
      </c>
      <c r="Z21" s="162" t="e">
        <f>IF(#REF!&lt;&gt;"",INDEX('2020 Rates'!$1:$1048576,MATCH(CLASSIFICATIONS!$F$2,'2020 Rates'!$B:$B,0),MATCH(Table4[[#This Row],[Type of Development]],'2020 Rates'!$4:$4,0)),0)</f>
        <v>#REF!</v>
      </c>
    </row>
    <row r="22" spans="12:26" x14ac:dyDescent="0.35">
      <c r="L22" s="98" t="s">
        <v>13</v>
      </c>
      <c r="M22" t="s">
        <v>411</v>
      </c>
      <c r="N22" t="str">
        <f t="shared" si="0"/>
        <v>Downtown Public Art_Single-Detached &amp; Semi-Detached</v>
      </c>
      <c r="R22" s="464" t="str">
        <f>CONCATENATE(Table4[[#This Row],[Exemption]],"_",Table4[[#This Row],[Type of Development]])</f>
        <v>Heritage_Apartments, Stacked Towns, Mobile, Bachelor, 1 BR</v>
      </c>
      <c r="S22" s="98" t="s">
        <v>19</v>
      </c>
      <c r="T22" s="465" t="s">
        <v>412</v>
      </c>
      <c r="U22" s="465" t="s">
        <v>18</v>
      </c>
      <c r="V22"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2" s="162">
        <f>INDEX('2020 Rates'!$1:$1048576,MATCH(CLASSIFICATIONS!$C$2,'2020 Rates'!$B:$B,0),MATCH(Table4[[#This Row],[Type of Development]],'2020 Rates'!$4:$4,0))</f>
        <v>113</v>
      </c>
      <c r="X22" s="466">
        <f>INDEX('2020 Rates'!$1:$1048576,MATCH(CLASSIFICATIONS!$D$2,'2020 Rates'!$B:$B,0),MATCH(Table4[[#This Row],[Type of Development]],'2020 Rates'!$4:$4,0))</f>
        <v>1573</v>
      </c>
      <c r="Y22" s="202">
        <f>INDEX('2020 Rates'!$1:$1048576,MATCH(CLASSIFICATIONS!$E$2,'2020 Rates'!$B:$B,0),MATCH(Table4[[#This Row],[Type of Development]],'2020 Rates'!$4:$4,0))</f>
        <v>1101</v>
      </c>
      <c r="Z22" s="162" t="e">
        <f>IF(#REF!&lt;&gt;"",INDEX('2020 Rates'!$1:$1048576,MATCH(CLASSIFICATIONS!$F$2,'2020 Rates'!$B:$B,0),MATCH(Table4[[#This Row],[Type of Development]],'2020 Rates'!$4:$4,0)),0)</f>
        <v>#REF!</v>
      </c>
    </row>
    <row r="23" spans="12:26" x14ac:dyDescent="0.35">
      <c r="L23" s="98" t="s">
        <v>13</v>
      </c>
      <c r="M23" t="s">
        <v>352</v>
      </c>
      <c r="N23" t="str">
        <f t="shared" si="0"/>
        <v>Downtown Public Art_Apartments, Stacked Towns, Mobile, 2+ BR</v>
      </c>
      <c r="R23" s="464" t="str">
        <f>CONCATENATE(Table4[[#This Row],[Exemption]],"_",Table4[[#This Row],[Type of Development]])</f>
        <v>Heritage_Townhouses &amp; Other Multiple Unit Dwellings</v>
      </c>
      <c r="S23" s="98" t="s">
        <v>19</v>
      </c>
      <c r="T23" s="465" t="s">
        <v>98</v>
      </c>
      <c r="U23" s="465" t="s">
        <v>18</v>
      </c>
      <c r="V23"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3" s="162">
        <f>INDEX('2020 Rates'!$1:$1048576,MATCH(CLASSIFICATIONS!$C$2,'2020 Rates'!$B:$B,0),MATCH(Table4[[#This Row],[Type of Development]],'2020 Rates'!$4:$4,0))</f>
        <v>196</v>
      </c>
      <c r="X23" s="466">
        <f>INDEX('2020 Rates'!$1:$1048576,MATCH(CLASSIFICATIONS!$D$2,'2020 Rates'!$B:$B,0),MATCH(Table4[[#This Row],[Type of Development]],'2020 Rates'!$4:$4,0))</f>
        <v>1573</v>
      </c>
      <c r="Y23" s="202">
        <f>INDEX('2020 Rates'!$1:$1048576,MATCH(CLASSIFICATIONS!$E$2,'2020 Rates'!$B:$B,0),MATCH(Table4[[#This Row],[Type of Development]],'2020 Rates'!$4:$4,0))</f>
        <v>1101</v>
      </c>
      <c r="Z23" s="162" t="e">
        <f>IF(#REF!&lt;&gt;"",INDEX('2020 Rates'!$1:$1048576,MATCH(CLASSIFICATIONS!$F$2,'2020 Rates'!$B:$B,0),MATCH(Table4[[#This Row],[Type of Development]],'2020 Rates'!$4:$4,0)),0)</f>
        <v>#REF!</v>
      </c>
    </row>
    <row r="24" spans="12:26" x14ac:dyDescent="0.35">
      <c r="L24" s="98" t="s">
        <v>13</v>
      </c>
      <c r="M24" t="s">
        <v>412</v>
      </c>
      <c r="N24" t="str">
        <f t="shared" si="0"/>
        <v>Downtown Public Art_Apartments, Stacked Towns, Mobile, Bachelor, 1 BR</v>
      </c>
      <c r="R24" s="464" t="str">
        <f>CONCATENATE(Table4[[#This Row],[Exemption]],"_",Table4[[#This Row],[Type of Development]])</f>
        <v>Heritage_Residential Facility, Lodging House, Garden Suite</v>
      </c>
      <c r="S24" s="98" t="s">
        <v>19</v>
      </c>
      <c r="T24" s="465" t="s">
        <v>353</v>
      </c>
      <c r="U24" s="465" t="s">
        <v>18</v>
      </c>
      <c r="V24"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4" s="162">
        <f>INDEX('2020 Rates'!$1:$1048576,MATCH(CLASSIFICATIONS!$C$2,'2020 Rates'!$B:$B,0),MATCH(Table4[[#This Row],[Type of Development]],'2020 Rates'!$4:$4,0))</f>
        <v>89</v>
      </c>
      <c r="X24" s="466">
        <f>INDEX('2020 Rates'!$1:$1048576,MATCH(CLASSIFICATIONS!$D$2,'2020 Rates'!$B:$B,0),MATCH(Table4[[#This Row],[Type of Development]],'2020 Rates'!$4:$4,0))</f>
        <v>1573</v>
      </c>
      <c r="Y24" s="202">
        <f>INDEX('2020 Rates'!$1:$1048576,MATCH(CLASSIFICATIONS!$E$2,'2020 Rates'!$B:$B,0),MATCH(Table4[[#This Row],[Type of Development]],'2020 Rates'!$4:$4,0))</f>
        <v>1101</v>
      </c>
      <c r="Z24" s="162" t="e">
        <f>IF(#REF!&lt;&gt;"",INDEX('2020 Rates'!$1:$1048576,MATCH(CLASSIFICATIONS!$F$2,'2020 Rates'!$B:$B,0),MATCH(Table4[[#This Row],[Type of Development]],'2020 Rates'!$4:$4,0)),0)</f>
        <v>#REF!</v>
      </c>
    </row>
    <row r="25" spans="12:26" x14ac:dyDescent="0.35">
      <c r="L25" s="98" t="s">
        <v>13</v>
      </c>
      <c r="M25" t="s">
        <v>98</v>
      </c>
      <c r="N25" t="str">
        <f t="shared" si="0"/>
        <v>Downtown Public Art_Townhouses &amp; Other Multiple Unit Dwellings</v>
      </c>
      <c r="R25" s="464" t="str">
        <f>CONCATENATE(Table4[[#This Row],[Exemption]],"_",Table4[[#This Row],[Type of Development]])</f>
        <v>Heritage_Industrial - New</v>
      </c>
      <c r="S25" s="98" t="s">
        <v>19</v>
      </c>
      <c r="T25" s="465" t="s">
        <v>95</v>
      </c>
      <c r="U25" s="465" t="s">
        <v>477</v>
      </c>
      <c r="V25"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5" s="466">
        <f>INDEX('2020 Rates'!$1:$1048576,MATCH(CLASSIFICATIONS!$C$2,'2020 Rates'!$B:$B,0),MATCH(Table4[[#This Row],[Type of Development]],'2020 Rates'!$4:$4,0))</f>
        <v>0</v>
      </c>
      <c r="X25" s="466">
        <f>INDEX('2020 Rates'!$1:$1048576,MATCH(CLASSIFICATIONS!$D$2,'2020 Rates'!$B:$B,0),MATCH(Table4[[#This Row],[Type of Development]],'2020 Rates'!$4:$4,0))</f>
        <v>0.43</v>
      </c>
      <c r="Y25" s="466">
        <f>INDEX('2020 Rates'!$1:$1048576,MATCH(CLASSIFICATIONS!$E$2,'2020 Rates'!$B:$B,0),MATCH(Table4[[#This Row],[Type of Development]],'2020 Rates'!$4:$4,0))</f>
        <v>0.35</v>
      </c>
      <c r="Z25" s="466" t="e">
        <f>IF(#REF!&lt;&gt;"",INDEX('2020 Rates'!$1:$1048576,MATCH(CLASSIFICATIONS!$F$2,'2020 Rates'!$B:$B,0),MATCH(Table4[[#This Row],[Type of Development]],'2020 Rates'!$4:$4,0)),0)</f>
        <v>#REF!</v>
      </c>
    </row>
    <row r="26" spans="12:26" x14ac:dyDescent="0.35">
      <c r="L26" s="98" t="s">
        <v>13</v>
      </c>
      <c r="M26" t="s">
        <v>353</v>
      </c>
      <c r="N26" t="str">
        <f t="shared" si="0"/>
        <v>Downtown Public Art_Residential Facility, Lodging House, Garden Suite</v>
      </c>
      <c r="R26" s="464" t="str">
        <f>CONCATENATE(Table4[[#This Row],[Exemption]],"_",Table4[[#This Row],[Type of Development]])</f>
        <v>Heritage_Industrial - Expansion</v>
      </c>
      <c r="S26" s="98" t="s">
        <v>19</v>
      </c>
      <c r="T26" s="465" t="s">
        <v>348</v>
      </c>
      <c r="U26" s="465" t="s">
        <v>477</v>
      </c>
      <c r="V26"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6" s="466">
        <f>INDEX('2020 Rates'!$1:$1048576,MATCH(CLASSIFICATIONS!$C$2,'2020 Rates'!$B:$B,0),MATCH(Table4[[#This Row],[Type of Development]],'2020 Rates'!$4:$4,0))</f>
        <v>0</v>
      </c>
      <c r="X26" s="466">
        <f>INDEX('2020 Rates'!$1:$1048576,MATCH(CLASSIFICATIONS!$D$2,'2020 Rates'!$B:$B,0),MATCH(Table4[[#This Row],[Type of Development]],'2020 Rates'!$4:$4,0))</f>
        <v>0.43</v>
      </c>
      <c r="Y26" s="466">
        <f>INDEX('2020 Rates'!$1:$1048576,MATCH(CLASSIFICATIONS!$E$2,'2020 Rates'!$B:$B,0),MATCH(Table4[[#This Row],[Type of Development]],'2020 Rates'!$4:$4,0))</f>
        <v>0.35</v>
      </c>
      <c r="Z26" s="466" t="e">
        <f>IF(#REF!&lt;&gt;"",INDEX('2020 Rates'!$1:$1048576,MATCH(CLASSIFICATIONS!$F$2,'2020 Rates'!$B:$B,0),MATCH(Table4[[#This Row],[Type of Development]],'2020 Rates'!$4:$4,0)),0)</f>
        <v>#REF!</v>
      </c>
    </row>
    <row r="27" spans="12:26" x14ac:dyDescent="0.35">
      <c r="L27" s="98" t="s">
        <v>13</v>
      </c>
      <c r="M27" t="s">
        <v>95</v>
      </c>
      <c r="N27" t="str">
        <f t="shared" si="0"/>
        <v>Downtown Public Art_Industrial - New</v>
      </c>
      <c r="R27" s="464" t="str">
        <f>CONCATENATE(Table4[[#This Row],[Exemption]],"_",Table4[[#This Row],[Type of Development]])</f>
        <v>Heritage_Non-Industrial - New</v>
      </c>
      <c r="S27" s="98" t="s">
        <v>19</v>
      </c>
      <c r="T27" s="465" t="s">
        <v>347</v>
      </c>
      <c r="U27" s="465" t="s">
        <v>477</v>
      </c>
      <c r="V27"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7" s="466">
        <f>INDEX('2020 Rates'!$1:$1048576,MATCH(CLASSIFICATIONS!$C$2,'2020 Rates'!$B:$B,0),MATCH(Table4[[#This Row],[Type of Development]],'2020 Rates'!$4:$4,0))</f>
        <v>0</v>
      </c>
      <c r="X27" s="466">
        <f>INDEX('2020 Rates'!$1:$1048576,MATCH(CLASSIFICATIONS!$D$2,'2020 Rates'!$B:$B,0),MATCH(Table4[[#This Row],[Type of Development]],'2020 Rates'!$4:$4,0))</f>
        <v>0.43</v>
      </c>
      <c r="Y27" s="466">
        <f>INDEX('2020 Rates'!$1:$1048576,MATCH(CLASSIFICATIONS!$E$2,'2020 Rates'!$B:$B,0),MATCH(Table4[[#This Row],[Type of Development]],'2020 Rates'!$4:$4,0))</f>
        <v>0.35</v>
      </c>
      <c r="Z27" s="466" t="e">
        <f>IF(#REF!&lt;&gt;"",INDEX('2020 Rates'!$1:$1048576,MATCH(CLASSIFICATIONS!$F$2,'2020 Rates'!$B:$B,0),MATCH(Table4[[#This Row],[Type of Development]],'2020 Rates'!$4:$4,0)),0)</f>
        <v>#REF!</v>
      </c>
    </row>
    <row r="28" spans="12:26" x14ac:dyDescent="0.35">
      <c r="L28" s="98" t="s">
        <v>13</v>
      </c>
      <c r="M28" t="s">
        <v>348</v>
      </c>
      <c r="N28" t="str">
        <f t="shared" si="0"/>
        <v>Downtown Public Art_Industrial - Expansion</v>
      </c>
      <c r="R28" s="464" t="str">
        <f>CONCATENATE(Table4[[#This Row],[Exemption]],"_",Table4[[#This Row],[Type of Development]])</f>
        <v>Heritage_Non-Industrial - Expansion</v>
      </c>
      <c r="S28" s="98" t="s">
        <v>19</v>
      </c>
      <c r="T28" s="465" t="s">
        <v>351</v>
      </c>
      <c r="U28" s="465" t="s">
        <v>477</v>
      </c>
      <c r="V28"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8" s="466">
        <f>INDEX('2020 Rates'!$1:$1048576,MATCH(CLASSIFICATIONS!$C$2,'2020 Rates'!$B:$B,0),MATCH(Table4[[#This Row],[Type of Development]],'2020 Rates'!$4:$4,0))</f>
        <v>0</v>
      </c>
      <c r="X28" s="466">
        <f>INDEX('2020 Rates'!$1:$1048576,MATCH(CLASSIFICATIONS!$D$2,'2020 Rates'!$B:$B,0),MATCH(Table4[[#This Row],[Type of Development]],'2020 Rates'!$4:$4,0))</f>
        <v>0.43</v>
      </c>
      <c r="Y28" s="466">
        <f>INDEX('2020 Rates'!$1:$1048576,MATCH(CLASSIFICATIONS!$E$2,'2020 Rates'!$B:$B,0),MATCH(Table4[[#This Row],[Type of Development]],'2020 Rates'!$4:$4,0))</f>
        <v>0.35</v>
      </c>
      <c r="Z28" s="466" t="e">
        <f>IF(#REF!&lt;&gt;"",INDEX('2020 Rates'!$1:$1048576,MATCH(CLASSIFICATIONS!$F$2,'2020 Rates'!$B:$B,0),MATCH(Table4[[#This Row],[Type of Development]],'2020 Rates'!$4:$4,0)),0)</f>
        <v>#REF!</v>
      </c>
    </row>
    <row r="29" spans="12:26" x14ac:dyDescent="0.35">
      <c r="L29" s="98" t="s">
        <v>13</v>
      </c>
      <c r="M29" t="s">
        <v>347</v>
      </c>
      <c r="N29" t="str">
        <f t="shared" si="0"/>
        <v>Downtown Public Art_Non-Industrial - New</v>
      </c>
      <c r="R29" s="464" t="str">
        <f>CONCATENATE(Table4[[#This Row],[Exemption]],"_",Table4[[#This Row],[Type of Development]])</f>
        <v>Garden Suite_Residential Facility, Lodging House, Garden Suite</v>
      </c>
      <c r="S29" s="98" t="s">
        <v>362</v>
      </c>
      <c r="T29" s="465" t="s">
        <v>353</v>
      </c>
      <c r="U29" s="465" t="s">
        <v>18</v>
      </c>
      <c r="V29"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29" s="162">
        <f>INDEX('2020 Rates'!$1:$1048576,MATCH(CLASSIFICATIONS!$C$2,'2020 Rates'!$B:$B,0),MATCH(Table4[[#This Row],[Type of Development]],'2020 Rates'!$4:$4,0))</f>
        <v>89</v>
      </c>
      <c r="X29" s="466">
        <f>INDEX('2020 Rates'!$1:$1048576,MATCH(CLASSIFICATIONS!$D$2,'2020 Rates'!$B:$B,0),MATCH(Table4[[#This Row],[Type of Development]],'2020 Rates'!$4:$4,0))</f>
        <v>1573</v>
      </c>
      <c r="Y29" s="202">
        <f>INDEX('2020 Rates'!$1:$1048576,MATCH(CLASSIFICATIONS!$E$2,'2020 Rates'!$B:$B,0),MATCH(Table4[[#This Row],[Type of Development]],'2020 Rates'!$4:$4,0))</f>
        <v>1101</v>
      </c>
      <c r="Z29" s="162" t="e">
        <f>IF(#REF!&lt;&gt;"",INDEX('2020 Rates'!$1:$1048576,MATCH(CLASSIFICATIONS!$F$2,'2020 Rates'!$B:$B,0),MATCH(Table4[[#This Row],[Type of Development]],'2020 Rates'!$4:$4,0)),0)</f>
        <v>#REF!</v>
      </c>
    </row>
    <row r="30" spans="12:26" x14ac:dyDescent="0.35">
      <c r="L30" s="98" t="s">
        <v>13</v>
      </c>
      <c r="M30" t="s">
        <v>351</v>
      </c>
      <c r="N30" t="str">
        <f t="shared" si="0"/>
        <v>Downtown Public Art_Non-Industrial - Expansion</v>
      </c>
      <c r="R30" s="464" t="str">
        <f>CONCATENATE(Table4[[#This Row],[Exemption]],"_",Table4[[#This Row],[Type of Development]])</f>
        <v>Laneway Housing_Single-Detached &amp; Semi-Detached</v>
      </c>
      <c r="S30" s="98" t="s">
        <v>288</v>
      </c>
      <c r="T30" s="465" t="s">
        <v>411</v>
      </c>
      <c r="U30" s="465" t="s">
        <v>18</v>
      </c>
      <c r="V30"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30" s="162">
        <f>INDEX('2020 Rates'!$1:$1048576,MATCH(CLASSIFICATIONS!$C$2,'2020 Rates'!$B:$B,0),MATCH(Table4[[#This Row],[Type of Development]],'2020 Rates'!$4:$4,0))</f>
        <v>273</v>
      </c>
      <c r="X30" s="466">
        <f>INDEX('2020 Rates'!$1:$1048576,MATCH(CLASSIFICATIONS!$D$2,'2020 Rates'!$B:$B,0),MATCH(Table4[[#This Row],[Type of Development]],'2020 Rates'!$4:$4,0))</f>
        <v>1573</v>
      </c>
      <c r="Y30" s="202">
        <f>INDEX('2020 Rates'!$1:$1048576,MATCH(CLASSIFICATIONS!$E$2,'2020 Rates'!$B:$B,0),MATCH(Table4[[#This Row],[Type of Development]],'2020 Rates'!$4:$4,0))</f>
        <v>1101</v>
      </c>
      <c r="Z30" s="162" t="e">
        <f>IF(#REF!&lt;&gt;"",INDEX('2020 Rates'!$1:$1048576,MATCH(CLASSIFICATIONS!$F$2,'2020 Rates'!$B:$B,0),MATCH(Table4[[#This Row],[Type of Development]],'2020 Rates'!$4:$4,0)),0)</f>
        <v>#REF!</v>
      </c>
    </row>
    <row r="31" spans="12:26" x14ac:dyDescent="0.35">
      <c r="L31" s="98" t="s">
        <v>19</v>
      </c>
      <c r="M31" t="s">
        <v>411</v>
      </c>
      <c r="N31" t="str">
        <f t="shared" si="0"/>
        <v>Heritage_Single-Detached &amp; Semi-Detached</v>
      </c>
      <c r="R31" s="464" t="str">
        <f>CONCATENATE(Table4[[#This Row],[Exemption]],"_",Table4[[#This Row],[Type of Development]])</f>
        <v>Place of Worship_Non-Industrial - New</v>
      </c>
      <c r="S31" s="98" t="s">
        <v>14</v>
      </c>
      <c r="T31" s="465" t="s">
        <v>347</v>
      </c>
      <c r="U31" s="465" t="s">
        <v>477</v>
      </c>
      <c r="V31"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31" s="466">
        <f>INDEX('2020 Rates'!$1:$1048576,MATCH(CLASSIFICATIONS!$C$2,'2020 Rates'!$B:$B,0),MATCH(Table4[[#This Row],[Type of Development]],'2020 Rates'!$4:$4,0))</f>
        <v>0</v>
      </c>
      <c r="X31" s="466">
        <f>INDEX('2020 Rates'!$1:$1048576,MATCH(CLASSIFICATIONS!$D$2,'2020 Rates'!$B:$B,0),MATCH(Table4[[#This Row],[Type of Development]],'2020 Rates'!$4:$4,0))</f>
        <v>0.43</v>
      </c>
      <c r="Y31" s="466">
        <f>INDEX('2020 Rates'!$1:$1048576,MATCH(CLASSIFICATIONS!$E$2,'2020 Rates'!$B:$B,0),MATCH(Table4[[#This Row],[Type of Development]],'2020 Rates'!$4:$4,0))</f>
        <v>0.35</v>
      </c>
      <c r="Z31" s="466" t="e">
        <f>IF(#REF!&lt;&gt;"",INDEX('2020 Rates'!$1:$1048576,MATCH(CLASSIFICATIONS!$F$2,'2020 Rates'!$B:$B,0),MATCH(Table4[[#This Row],[Type of Development]],'2020 Rates'!$4:$4,0)),0)</f>
        <v>#REF!</v>
      </c>
    </row>
    <row r="32" spans="12:26" x14ac:dyDescent="0.35">
      <c r="L32" s="98" t="s">
        <v>19</v>
      </c>
      <c r="M32" t="s">
        <v>352</v>
      </c>
      <c r="N32" t="str">
        <f t="shared" si="0"/>
        <v>Heritage_Apartments, Stacked Towns, Mobile, 2+ BR</v>
      </c>
      <c r="R32" s="464" t="str">
        <f>CONCATENATE(Table4[[#This Row],[Exemption]],"_",Table4[[#This Row],[Type of Development]])</f>
        <v>Place of Worship_Non-Industrial - Expansion</v>
      </c>
      <c r="S32" s="98" t="s">
        <v>14</v>
      </c>
      <c r="T32" s="465" t="s">
        <v>351</v>
      </c>
      <c r="U32" s="465" t="s">
        <v>477</v>
      </c>
      <c r="V32" s="466"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32" s="466">
        <f>INDEX('2020 Rates'!$1:$1048576,MATCH(CLASSIFICATIONS!$C$2,'2020 Rates'!$B:$B,0),MATCH(Table4[[#This Row],[Type of Development]],'2020 Rates'!$4:$4,0))</f>
        <v>0</v>
      </c>
      <c r="X32" s="466">
        <f>INDEX('2020 Rates'!$1:$1048576,MATCH(CLASSIFICATIONS!$D$2,'2020 Rates'!$B:$B,0),MATCH(Table4[[#This Row],[Type of Development]],'2020 Rates'!$4:$4,0))</f>
        <v>0.43</v>
      </c>
      <c r="Y32" s="466">
        <f>INDEX('2020 Rates'!$1:$1048576,MATCH(CLASSIFICATIONS!$E$2,'2020 Rates'!$B:$B,0),MATCH(Table4[[#This Row],[Type of Development]],'2020 Rates'!$4:$4,0))</f>
        <v>0.35</v>
      </c>
      <c r="Z32" s="466" t="e">
        <f>IF(#REF!&lt;&gt;"",INDEX('2020 Rates'!$1:$1048576,MATCH(CLASSIFICATIONS!$F$2,'2020 Rates'!$B:$B,0),MATCH(Table4[[#This Row],[Type of Development]],'2020 Rates'!$4:$4,0)),0)</f>
        <v>#REF!</v>
      </c>
    </row>
    <row r="33" spans="12:31" x14ac:dyDescent="0.35">
      <c r="L33" s="98" t="s">
        <v>19</v>
      </c>
      <c r="M33" t="s">
        <v>412</v>
      </c>
      <c r="N33" t="str">
        <f t="shared" si="0"/>
        <v>Heritage_Apartments, Stacked Towns, Mobile, Bachelor, 1 BR</v>
      </c>
      <c r="R33" s="464" t="str">
        <f>CONCATENATE(Table4[[#This Row],[Exemption]],"_",Table4[[#This Row],[Type of Development]])</f>
        <v>Redev Residential Facility - 50%_Residential Facility, Lodging House, Garden Suite</v>
      </c>
      <c r="S33" s="98" t="s">
        <v>364</v>
      </c>
      <c r="T33" s="465" t="s">
        <v>353</v>
      </c>
      <c r="U33" s="465" t="s">
        <v>18</v>
      </c>
      <c r="V33" s="202" t="e">
        <f>('2020 Rates'!$G$30)+(IF(#REF!="Combined Sewer System",'2020 Rates'!$G$40,IF(#REF!="Separated Sewer System",'2020 Rates'!$G$41,IF(#REF!="Rural Area with Water",'2020 Rates'!$G$34,IF(#REF!="Rural Area with Water and Waste water",'2020 Rates'!$G$34+'2020 Rates'!$G$35+'2020 Rates'!$G$36,0)))))</f>
        <v>#REF!</v>
      </c>
      <c r="W33" s="162">
        <f>'2020 Rates'!$G$47</f>
        <v>89</v>
      </c>
      <c r="X33" s="466" t="e">
        <f>IF(#REF!&lt;&gt;0,'2020 Rates'!#REF!,'2020 Rates'!$G$48)</f>
        <v>#REF!</v>
      </c>
      <c r="Y33" s="202" t="e">
        <f>IF(#REF!&lt;&gt;0,'2020 Rates'!#REF!,'2020 Rates'!$G$49)</f>
        <v>#REF!</v>
      </c>
      <c r="Z33" s="162" t="e">
        <f>IF(#REF!&lt;&gt;"",'2020 Rates'!$G$54,0)</f>
        <v>#REF!</v>
      </c>
    </row>
    <row r="34" spans="12:31" x14ac:dyDescent="0.35">
      <c r="L34" s="98" t="s">
        <v>19</v>
      </c>
      <c r="M34" t="s">
        <v>98</v>
      </c>
      <c r="N34" t="str">
        <f t="shared" si="0"/>
        <v>Heritage_Townhouses &amp; Other Multiple Unit Dwellings</v>
      </c>
      <c r="R34" s="464" t="str">
        <f>CONCATENATE(Table4[[#This Row],[Exemption]],"_",Table4[[#This Row],[Type of Development]])</f>
        <v>Student Residence_Single-Detached &amp; Semi-Detached</v>
      </c>
      <c r="S34" s="98" t="s">
        <v>9</v>
      </c>
      <c r="T34" s="465" t="s">
        <v>411</v>
      </c>
      <c r="U34" s="465" t="s">
        <v>18</v>
      </c>
      <c r="V34"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Rates'!$4:$4,0)),0))))*0.5</f>
        <v>#REF!</v>
      </c>
      <c r="W34" s="162">
        <f>INDEX('2020 Rates'!$1:$1048576,MATCH(CLASSIFICATIONS!$C$2,'2020 Rates'!$B:$B,0),MATCH(Table4[[#This Row],[Type of Development]],'2020 Rates'!$4:$4,0))*0.5</f>
        <v>136.5</v>
      </c>
      <c r="X34" s="466">
        <f>INDEX('2020 Rates'!$1:$1048576,MATCH(CLASSIFICATIONS!$D$2,'2020 Rates'!$B:$B,0),MATCH(Table4[[#This Row],[Type of Development]],'2020 Rates'!$4:$4,0))*0.5</f>
        <v>786.5</v>
      </c>
      <c r="Y34" s="202">
        <f>INDEX('2020 Rates'!$1:$1048576,MATCH(CLASSIFICATIONS!$E$2,'2020 Rates'!$B:$B,0),MATCH(Table4[[#This Row],[Type of Development]],'2020 Rates'!$4:$4,0))*0.5</f>
        <v>550.5</v>
      </c>
      <c r="Z34" s="162" t="e">
        <f>IF(#REF!&lt;&gt;"",INDEX('2020 Rates'!$1:$1048576,MATCH(CLASSIFICATIONS!$F$2,'2020 Rates'!$B:$B,0),MATCH(Table4[[#This Row],[Type of Development]],'2020 Rates'!$4:$4,0)),0)*0.5</f>
        <v>#REF!</v>
      </c>
      <c r="AD34" s="295"/>
      <c r="AE34" s="295"/>
    </row>
    <row r="35" spans="12:31" x14ac:dyDescent="0.35">
      <c r="L35" s="98" t="s">
        <v>19</v>
      </c>
      <c r="M35" t="s">
        <v>353</v>
      </c>
      <c r="N35" t="str">
        <f t="shared" si="0"/>
        <v>Heritage_Residential Facility, Lodging House, Garden Suite</v>
      </c>
      <c r="R35" s="464" t="str">
        <f>CONCATENATE(Table4[[#This Row],[Exemption]],"_",Table4[[#This Row],[Type of Development]])</f>
        <v>Student Residence_Apartments, Stacked Towns, Mobile, 2+ BR</v>
      </c>
      <c r="S35" s="98" t="s">
        <v>9</v>
      </c>
      <c r="T35" s="465" t="s">
        <v>352</v>
      </c>
      <c r="U35" s="465" t="s">
        <v>18</v>
      </c>
      <c r="V35"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Rates'!$4:$4,0)),0))))*0.5</f>
        <v>#REF!</v>
      </c>
      <c r="W35" s="162">
        <f>INDEX('2020 Rates'!$1:$1048576,MATCH(CLASSIFICATIONS!$C$2,'2020 Rates'!$B:$B,0),MATCH(Table4[[#This Row],[Type of Development]],'2020 Rates'!$4:$4,0))*0.5</f>
        <v>84.5</v>
      </c>
      <c r="X35" s="466">
        <f>INDEX('2020 Rates'!$1:$1048576,MATCH(CLASSIFICATIONS!$D$2,'2020 Rates'!$B:$B,0),MATCH(Table4[[#This Row],[Type of Development]],'2020 Rates'!$4:$4,0))*0.5</f>
        <v>786.5</v>
      </c>
      <c r="Y35" s="202">
        <f>INDEX('2020 Rates'!$1:$1048576,MATCH(CLASSIFICATIONS!$E$2,'2020 Rates'!$B:$B,0),MATCH(Table4[[#This Row],[Type of Development]],'2020 Rates'!$4:$4,0))*0.5</f>
        <v>550.5</v>
      </c>
      <c r="Z35" s="162" t="e">
        <f>IF(#REF!&lt;&gt;"",INDEX('2020 Rates'!$1:$1048576,MATCH(CLASSIFICATIONS!$F$2,'2020 Rates'!$B:$B,0),MATCH(Table4[[#This Row],[Type of Development]],'2020 Rates'!$4:$4,0)),0)*0.5</f>
        <v>#REF!</v>
      </c>
      <c r="AD35" s="295"/>
      <c r="AE35" s="295"/>
    </row>
    <row r="36" spans="12:31" x14ac:dyDescent="0.35">
      <c r="L36" s="98" t="s">
        <v>19</v>
      </c>
      <c r="M36" t="s">
        <v>95</v>
      </c>
      <c r="N36" t="str">
        <f t="shared" si="0"/>
        <v>Heritage_Industrial - New</v>
      </c>
      <c r="R36" s="464" t="str">
        <f>CONCATENATE(Table4[[#This Row],[Exemption]],"_",Table4[[#This Row],[Type of Development]])</f>
        <v>Student Residence_Apartments, Stacked Towns, Mobile, Bachelor, 1 BR</v>
      </c>
      <c r="S36" s="98" t="s">
        <v>9</v>
      </c>
      <c r="T36" s="465" t="s">
        <v>412</v>
      </c>
      <c r="U36" s="465" t="s">
        <v>18</v>
      </c>
      <c r="V36"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Rates'!$4:$4,0)),0))))*0.5</f>
        <v>#REF!</v>
      </c>
      <c r="W36" s="162">
        <f>INDEX('2020 Rates'!$1:$1048576,MATCH(CLASSIFICATIONS!$C$2,'2020 Rates'!$B:$B,0),MATCH(Table4[[#This Row],[Type of Development]],'2020 Rates'!$4:$4,0))*0.5</f>
        <v>56.5</v>
      </c>
      <c r="X36" s="466">
        <f>INDEX('2020 Rates'!$1:$1048576,MATCH(CLASSIFICATIONS!$D$2,'2020 Rates'!$B:$B,0),MATCH(Table4[[#This Row],[Type of Development]],'2020 Rates'!$4:$4,0))*0.5</f>
        <v>786.5</v>
      </c>
      <c r="Y36" s="202">
        <f>INDEX('2020 Rates'!$1:$1048576,MATCH(CLASSIFICATIONS!$E$2,'2020 Rates'!$B:$B,0),MATCH(Table4[[#This Row],[Type of Development]],'2020 Rates'!$4:$4,0))*0.5</f>
        <v>550.5</v>
      </c>
      <c r="Z36" s="162" t="e">
        <f>IF(#REF!&lt;&gt;"",INDEX('2020 Rates'!$1:$1048576,MATCH(CLASSIFICATIONS!$F$2,'2020 Rates'!$B:$B,0),MATCH(Table4[[#This Row],[Type of Development]],'2020 Rates'!$4:$4,0)),0)*0.5</f>
        <v>#REF!</v>
      </c>
      <c r="AD36" s="295"/>
      <c r="AE36" s="295"/>
    </row>
    <row r="37" spans="12:31" x14ac:dyDescent="0.35">
      <c r="L37" s="98" t="s">
        <v>19</v>
      </c>
      <c r="M37" t="s">
        <v>348</v>
      </c>
      <c r="N37" t="str">
        <f t="shared" si="0"/>
        <v>Heritage_Industrial - Expansion</v>
      </c>
      <c r="R37" s="464" t="str">
        <f>CONCATENATE(Table4[[#This Row],[Exemption]],"_",Table4[[#This Row],[Type of Development]])</f>
        <v>Student Residence_Townhouses &amp; Other Multiple Unit Dwellings</v>
      </c>
      <c r="S37" s="98" t="s">
        <v>9</v>
      </c>
      <c r="T37" s="465" t="s">
        <v>98</v>
      </c>
      <c r="U37" s="465" t="s">
        <v>18</v>
      </c>
      <c r="V37"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Rates'!$4:$4,0)),0))))*0.5</f>
        <v>#REF!</v>
      </c>
      <c r="W37" s="162">
        <f>INDEX('2020 Rates'!$1:$1048576,MATCH(CLASSIFICATIONS!$C$2,'2020 Rates'!$B:$B,0),MATCH(Table4[[#This Row],[Type of Development]],'2020 Rates'!$4:$4,0))*0.5</f>
        <v>98</v>
      </c>
      <c r="X37" s="466">
        <f>INDEX('2020 Rates'!$1:$1048576,MATCH(CLASSIFICATIONS!$D$2,'2020 Rates'!$B:$B,0),MATCH(Table4[[#This Row],[Type of Development]],'2020 Rates'!$4:$4,0))*0.5</f>
        <v>786.5</v>
      </c>
      <c r="Y37" s="202">
        <f>INDEX('2020 Rates'!$1:$1048576,MATCH(CLASSIFICATIONS!$E$2,'2020 Rates'!$B:$B,0),MATCH(Table4[[#This Row],[Type of Development]],'2020 Rates'!$4:$4,0))*0.5</f>
        <v>550.5</v>
      </c>
      <c r="Z37" s="162" t="e">
        <f>IF(#REF!&lt;&gt;"",INDEX('2020 Rates'!$1:$1048576,MATCH(CLASSIFICATIONS!$F$2,'2020 Rates'!$B:$B,0),MATCH(Table4[[#This Row],[Type of Development]],'2020 Rates'!$4:$4,0)),0)*0.5</f>
        <v>#REF!</v>
      </c>
      <c r="AD37" s="295"/>
      <c r="AE37" s="295"/>
    </row>
    <row r="38" spans="12:31" x14ac:dyDescent="0.35">
      <c r="L38" s="98" t="s">
        <v>19</v>
      </c>
      <c r="M38" t="s">
        <v>347</v>
      </c>
      <c r="N38" t="str">
        <f t="shared" si="0"/>
        <v>Heritage_Non-Industrial - New</v>
      </c>
      <c r="R38" s="464" t="str">
        <f>CONCATENATE(Table4[[#This Row],[Exemption]],"_",Table4[[#This Row],[Type of Development]])</f>
        <v>Student Residence_Residential Facility, Lodging House, Garden Suite</v>
      </c>
      <c r="S38" s="98" t="s">
        <v>9</v>
      </c>
      <c r="T38" s="465" t="s">
        <v>353</v>
      </c>
      <c r="U38" s="465" t="s">
        <v>18</v>
      </c>
      <c r="V38"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Rates'!$4:$4,0)),0))))*0.5</f>
        <v>#REF!</v>
      </c>
      <c r="W38" s="162">
        <f>INDEX('2020 Rates'!$1:$1048576,MATCH(CLASSIFICATIONS!$C$2,'2020 Rates'!$B:$B,0),MATCH(Table4[[#This Row],[Type of Development]],'2020 Rates'!$4:$4,0))*0.5</f>
        <v>44.5</v>
      </c>
      <c r="X38" s="466">
        <f>INDEX('2020 Rates'!$1:$1048576,MATCH(CLASSIFICATIONS!$D$2,'2020 Rates'!$B:$B,0),MATCH(Table4[[#This Row],[Type of Development]],'2020 Rates'!$4:$4,0))*0.5</f>
        <v>786.5</v>
      </c>
      <c r="Y38" s="202">
        <f>INDEX('2020 Rates'!$1:$1048576,MATCH(CLASSIFICATIONS!$E$2,'2020 Rates'!$B:$B,0),MATCH(Table4[[#This Row],[Type of Development]],'2020 Rates'!$4:$4,0))*0.5</f>
        <v>550.5</v>
      </c>
      <c r="Z38" s="162" t="e">
        <f>IF(#REF!&lt;&gt;"",INDEX('2020 Rates'!$1:$1048576,MATCH(CLASSIFICATIONS!$F$2,'2020 Rates'!$B:$B,0),MATCH(Table4[[#This Row],[Type of Development]],'2020 Rates'!$4:$4,0)),0)*0.5</f>
        <v>#REF!</v>
      </c>
      <c r="AD38" s="295"/>
      <c r="AE38" s="295"/>
    </row>
    <row r="39" spans="12:31" x14ac:dyDescent="0.35">
      <c r="L39" s="98" t="s">
        <v>19</v>
      </c>
      <c r="M39" t="s">
        <v>351</v>
      </c>
      <c r="N39" t="str">
        <f t="shared" si="0"/>
        <v>Heritage_Non-Industrial - Expansion</v>
      </c>
      <c r="R39" s="464" t="str">
        <f>CONCATENATE(Table4[[#This Row],[Exemption]],"_",Table4[[#This Row],[Type of Development]])</f>
        <v>Temporary Structure_Industrial - New</v>
      </c>
      <c r="S39" s="98" t="s">
        <v>482</v>
      </c>
      <c r="T39" s="465" t="s">
        <v>95</v>
      </c>
      <c r="U39" s="465" t="s">
        <v>477</v>
      </c>
      <c r="V39"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39" s="162">
        <f>INDEX('2020 Rates'!$1:$1048576,MATCH(CLASSIFICATIONS!$C$2,'2020 Rates'!$B:$B,0),MATCH(Table4[[#This Row],[Type of Development]],'2020 Rates'!$4:$4,0))</f>
        <v>0</v>
      </c>
      <c r="X39" s="466">
        <f>INDEX('2020 Rates'!$1:$1048576,MATCH(CLASSIFICATIONS!$D$2,'2020 Rates'!$B:$B,0),MATCH(Table4[[#This Row],[Type of Development]],'2020 Rates'!$4:$4,0))</f>
        <v>0.43</v>
      </c>
      <c r="Y39" s="202">
        <f>INDEX('2020 Rates'!$1:$1048576,MATCH(CLASSIFICATIONS!$E$2,'2020 Rates'!$B:$B,0),MATCH(Table4[[#This Row],[Type of Development]],'2020 Rates'!$4:$4,0))</f>
        <v>0.35</v>
      </c>
      <c r="Z39" s="162" t="e">
        <f>IF(#REF!&lt;&gt;"",INDEX('2020 Rates'!$1:$1048576,MATCH(CLASSIFICATIONS!$F$2,'2020 Rates'!$B:$B,0),MATCH(Table4[[#This Row],[Type of Development]],'2020 Rates'!$4:$4,0)),0)</f>
        <v>#REF!</v>
      </c>
    </row>
    <row r="40" spans="12:31" x14ac:dyDescent="0.35">
      <c r="L40" s="294" t="s">
        <v>362</v>
      </c>
      <c r="M40" t="s">
        <v>353</v>
      </c>
      <c r="N40" t="str">
        <f t="shared" si="0"/>
        <v>Garden Suite_Residential Facility, Lodging House, Garden Suite</v>
      </c>
      <c r="R40" s="464" t="str">
        <f>CONCATENATE(Table4[[#This Row],[Exemption]],"_",Table4[[#This Row],[Type of Development]])</f>
        <v>Temporary Structure_Industrial - Expansion</v>
      </c>
      <c r="S40" s="98" t="s">
        <v>482</v>
      </c>
      <c r="T40" s="465" t="s">
        <v>348</v>
      </c>
      <c r="U40" s="465" t="s">
        <v>477</v>
      </c>
      <c r="V40"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40" s="162">
        <f>INDEX('2020 Rates'!$1:$1048576,MATCH(CLASSIFICATIONS!$C$2,'2020 Rates'!$B:$B,0),MATCH(Table4[[#This Row],[Type of Development]],'2020 Rates'!$4:$4,0))</f>
        <v>0</v>
      </c>
      <c r="X40" s="466">
        <f>INDEX('2020 Rates'!$1:$1048576,MATCH(CLASSIFICATIONS!$D$2,'2020 Rates'!$B:$B,0),MATCH(Table4[[#This Row],[Type of Development]],'2020 Rates'!$4:$4,0))</f>
        <v>0.43</v>
      </c>
      <c r="Y40" s="202">
        <f>INDEX('2020 Rates'!$1:$1048576,MATCH(CLASSIFICATIONS!$E$2,'2020 Rates'!$B:$B,0),MATCH(Table4[[#This Row],[Type of Development]],'2020 Rates'!$4:$4,0))</f>
        <v>0.35</v>
      </c>
      <c r="Z40" s="162" t="e">
        <f>IF(#REF!&lt;&gt;"",INDEX('2020 Rates'!$1:$1048576,MATCH(CLASSIFICATIONS!$F$2,'2020 Rates'!$B:$B,0),MATCH(Table4[[#This Row],[Type of Development]],'2020 Rates'!$4:$4,0)),0)</f>
        <v>#REF!</v>
      </c>
    </row>
    <row r="41" spans="12:31" x14ac:dyDescent="0.35">
      <c r="L41" s="294" t="s">
        <v>363</v>
      </c>
      <c r="M41" t="s">
        <v>348</v>
      </c>
      <c r="N41" t="str">
        <f t="shared" si="0"/>
        <v>Industrial Expansion - 50%*_Industrial - Expansion</v>
      </c>
      <c r="R41" s="464" t="str">
        <f>CONCATENATE(Table4[[#This Row],[Exemption]],"_",Table4[[#This Row],[Type of Development]])</f>
        <v>Temporary Structure_Non-Industrial - New</v>
      </c>
      <c r="S41" s="98" t="s">
        <v>482</v>
      </c>
      <c r="T41" s="465" t="s">
        <v>347</v>
      </c>
      <c r="U41" s="465" t="s">
        <v>477</v>
      </c>
      <c r="V41"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41" s="162">
        <f>INDEX('2020 Rates'!$1:$1048576,MATCH(CLASSIFICATIONS!$C$2,'2020 Rates'!$B:$B,0),MATCH(Table4[[#This Row],[Type of Development]],'2020 Rates'!$4:$4,0))</f>
        <v>0</v>
      </c>
      <c r="X41" s="466">
        <f>INDEX('2020 Rates'!$1:$1048576,MATCH(CLASSIFICATIONS!$D$2,'2020 Rates'!$B:$B,0),MATCH(Table4[[#This Row],[Type of Development]],'2020 Rates'!$4:$4,0))</f>
        <v>0.43</v>
      </c>
      <c r="Y41" s="202">
        <f>INDEX('2020 Rates'!$1:$1048576,MATCH(CLASSIFICATIONS!$E$2,'2020 Rates'!$B:$B,0),MATCH(Table4[[#This Row],[Type of Development]],'2020 Rates'!$4:$4,0))</f>
        <v>0.35</v>
      </c>
      <c r="Z41" s="162" t="e">
        <f>IF(#REF!&lt;&gt;"",INDEX('2020 Rates'!$1:$1048576,MATCH(CLASSIFICATIONS!$F$2,'2020 Rates'!$B:$B,0),MATCH(Table4[[#This Row],[Type of Development]],'2020 Rates'!$4:$4,0)),0)</f>
        <v>#REF!</v>
      </c>
    </row>
    <row r="42" spans="12:31" x14ac:dyDescent="0.35">
      <c r="L42" s="98" t="s">
        <v>12</v>
      </c>
      <c r="M42" t="s">
        <v>411</v>
      </c>
      <c r="N42" t="str">
        <f t="shared" si="0"/>
        <v>Intensification_Single-Detached &amp; Semi-Detached</v>
      </c>
      <c r="R42" s="464" t="str">
        <f>CONCATENATE(Table4[[#This Row],[Exemption]],"_",Table4[[#This Row],[Type of Development]])</f>
        <v>Temporary Structure_Non-Industrial - Expansion</v>
      </c>
      <c r="S42" s="98" t="s">
        <v>482</v>
      </c>
      <c r="T42" s="465" t="s">
        <v>351</v>
      </c>
      <c r="U42" s="465" t="s">
        <v>477</v>
      </c>
      <c r="V42" s="202" t="e">
        <f>INDEX('2020 Rates'!$1:$1048576,MATCH(CLASSIFICATIONS!$A$2,'2020 Rates'!$B:$B,0),MATCH(Table4[[#This Row],[Type of Development]],'2020 Rates'!$4:$4,0))+IF(#REF!='Drop Downs'!$C$2,INDEX('2020 Rates'!$1:$1048576,MATCH(CLASSIFICATIONS!$B$2,'2020 Rates'!$B:$B,0),MATCH(Table4[[#This Row],[Type of Development]],'2020 Rates'!$4:$4,0)),IF(#REF!='Drop Downs'!$C$3,INDEX('2020 Rates'!$1:$1048576,MATCH(CLASSIFICATIONS!$B$3,'2020 Rates'!B:B,0),MATCH(Table4[[#This Row],[Type of Development]],'2020 Rates'!$4:$4,0)),IF(#REF!='Drop Downs'!$C$5,INDEX('2020 Rates'!$1:$1048576,MATCH(CLASSIFICATIONS!$B$4,'2020 Rates'!$B:$B,0),MATCH(Table4[[#This Row],[Type of Development]],'2020 Rates'!$4:$4,0)),IF(#REF!='Drop Downs'!$C$6,INDEX('2020 Rates'!$1:$1048576,MATCH(CLASSIFICATIONS!$B$4,'2020 Rates'!$B:$B,0),MATCH(Table4[[#This Row],[Type of Development]],'2020 Rates'!$4:$4,0))+INDEX('2020 Rates'!$1:$1048576,MATCH(CLASSIFICATIONS!$B$5,'2020 Rates'!$B:$B,0),MATCH(Table4[[#This Row],[Type of Development]],'2020 Rates'!$4:$4,0))+INDEX('2020 Rates'!$1:$1048576,MATCH(CLASSIFICATIONS!$B$6,'2020 Rates'!$B:$B,0),MATCH(Table4[[#This Row],[Type of Development]],'2020 Rates'!$4:$4,0)),0))))</f>
        <v>#REF!</v>
      </c>
      <c r="W42" s="162">
        <f>INDEX('2020 Rates'!$1:$1048576,MATCH(CLASSIFICATIONS!$C$2,'2020 Rates'!$B:$B,0),MATCH(Table4[[#This Row],[Type of Development]],'2020 Rates'!$4:$4,0))</f>
        <v>0</v>
      </c>
      <c r="X42" s="466">
        <f>INDEX('2020 Rates'!$1:$1048576,MATCH(CLASSIFICATIONS!$D$2,'2020 Rates'!$B:$B,0),MATCH(Table4[[#This Row],[Type of Development]],'2020 Rates'!$4:$4,0))</f>
        <v>0.43</v>
      </c>
      <c r="Y42" s="202">
        <f>INDEX('2020 Rates'!$1:$1048576,MATCH(CLASSIFICATIONS!$E$2,'2020 Rates'!$B:$B,0),MATCH(Table4[[#This Row],[Type of Development]],'2020 Rates'!$4:$4,0))</f>
        <v>0.35</v>
      </c>
      <c r="Z42" s="162" t="e">
        <f>IF(#REF!&lt;&gt;"",INDEX('2020 Rates'!$1:$1048576,MATCH(CLASSIFICATIONS!$F$2,'2020 Rates'!$B:$B,0),MATCH(Table4[[#This Row],[Type of Development]],'2020 Rates'!$4:$4,0)),0)</f>
        <v>#REF!</v>
      </c>
    </row>
    <row r="43" spans="12:31" x14ac:dyDescent="0.35">
      <c r="L43" s="98" t="s">
        <v>12</v>
      </c>
      <c r="M43" t="s">
        <v>352</v>
      </c>
      <c r="N43" t="str">
        <f t="shared" si="0"/>
        <v>Intensification_Apartments, Stacked Towns, Mobile, 2+ BR</v>
      </c>
    </row>
    <row r="44" spans="12:31" x14ac:dyDescent="0.35">
      <c r="L44" s="98" t="s">
        <v>12</v>
      </c>
      <c r="M44" t="s">
        <v>412</v>
      </c>
      <c r="N44" t="str">
        <f t="shared" si="0"/>
        <v>Intensification_Apartments, Stacked Towns, Mobile, Bachelor, 1 BR</v>
      </c>
    </row>
    <row r="45" spans="12:31" x14ac:dyDescent="0.35">
      <c r="L45" s="98" t="s">
        <v>12</v>
      </c>
      <c r="M45" t="s">
        <v>98</v>
      </c>
      <c r="N45" t="str">
        <f t="shared" si="0"/>
        <v>Intensification_Townhouses &amp; Other Multiple Unit Dwellings</v>
      </c>
    </row>
    <row r="46" spans="12:31" x14ac:dyDescent="0.35">
      <c r="L46" s="98" t="s">
        <v>12</v>
      </c>
      <c r="M46" t="s">
        <v>353</v>
      </c>
      <c r="N46" t="str">
        <f t="shared" si="0"/>
        <v>Intensification_Residential Facility, Lodging House, Garden Suite</v>
      </c>
    </row>
    <row r="47" spans="12:31" x14ac:dyDescent="0.35">
      <c r="L47" s="98" t="s">
        <v>288</v>
      </c>
      <c r="M47" t="s">
        <v>411</v>
      </c>
      <c r="N47" t="str">
        <f t="shared" si="0"/>
        <v>Laneway Housing_Single-Detached &amp; Semi-Detached</v>
      </c>
    </row>
    <row r="48" spans="12:31" x14ac:dyDescent="0.35">
      <c r="L48" s="98" t="s">
        <v>407</v>
      </c>
      <c r="M48" t="s">
        <v>351</v>
      </c>
      <c r="N48" t="str">
        <f t="shared" si="0"/>
        <v>Office Expansion - 1st 5,000 sq. ft._Non-Industrial - Expansion</v>
      </c>
    </row>
    <row r="49" spans="12:14" x14ac:dyDescent="0.35">
      <c r="L49" s="98" t="s">
        <v>350</v>
      </c>
      <c r="M49" t="s">
        <v>347</v>
      </c>
      <c r="N49" t="str">
        <f t="shared" si="0"/>
        <v>Non-Industrial New - 1st 5,000 sq. ft._Non-Industrial - New</v>
      </c>
    </row>
    <row r="50" spans="12:14" x14ac:dyDescent="0.35">
      <c r="L50" s="98" t="s">
        <v>349</v>
      </c>
      <c r="M50" t="s">
        <v>347</v>
      </c>
      <c r="N50" t="str">
        <f t="shared" si="0"/>
        <v>Non-Industrial New - 2nd 5,000 sq. ft._Non-Industrial - New</v>
      </c>
    </row>
    <row r="51" spans="12:14" x14ac:dyDescent="0.35">
      <c r="L51" s="98" t="s">
        <v>14</v>
      </c>
      <c r="M51" t="s">
        <v>347</v>
      </c>
      <c r="N51" t="str">
        <f t="shared" si="0"/>
        <v>Place of Worship_Non-Industrial - New</v>
      </c>
    </row>
    <row r="52" spans="12:14" x14ac:dyDescent="0.35">
      <c r="L52" s="98" t="s">
        <v>14</v>
      </c>
      <c r="M52" t="s">
        <v>351</v>
      </c>
      <c r="N52" t="str">
        <f t="shared" si="0"/>
        <v>Place of Worship_Non-Industrial - Expansion</v>
      </c>
    </row>
    <row r="53" spans="12:14" x14ac:dyDescent="0.35">
      <c r="L53" s="98" t="s">
        <v>364</v>
      </c>
      <c r="M53" t="s">
        <v>353</v>
      </c>
      <c r="N53" t="str">
        <f t="shared" si="0"/>
        <v>Redev Residential Facility - 50%_Residential Facility, Lodging House, Garden Suite</v>
      </c>
    </row>
    <row r="54" spans="12:14" x14ac:dyDescent="0.35">
      <c r="L54" s="98" t="s">
        <v>9</v>
      </c>
      <c r="M54" t="s">
        <v>411</v>
      </c>
      <c r="N54" t="str">
        <f t="shared" si="0"/>
        <v>Student Residence_Single-Detached &amp; Semi-Detached</v>
      </c>
    </row>
    <row r="55" spans="12:14" x14ac:dyDescent="0.35">
      <c r="L55" s="98" t="s">
        <v>9</v>
      </c>
      <c r="M55" t="s">
        <v>352</v>
      </c>
      <c r="N55" t="str">
        <f t="shared" si="0"/>
        <v>Student Residence_Apartments, Stacked Towns, Mobile, 2+ BR</v>
      </c>
    </row>
    <row r="56" spans="12:14" x14ac:dyDescent="0.35">
      <c r="L56" s="98" t="s">
        <v>9</v>
      </c>
      <c r="M56" t="s">
        <v>412</v>
      </c>
      <c r="N56" t="str">
        <f t="shared" si="0"/>
        <v>Student Residence_Apartments, Stacked Towns, Mobile, Bachelor, 1 BR</v>
      </c>
    </row>
    <row r="57" spans="12:14" x14ac:dyDescent="0.35">
      <c r="L57" s="98" t="s">
        <v>9</v>
      </c>
      <c r="M57" t="s">
        <v>98</v>
      </c>
      <c r="N57" t="str">
        <f t="shared" si="0"/>
        <v>Student Residence_Townhouses &amp; Other Multiple Unit Dwellings</v>
      </c>
    </row>
    <row r="58" spans="12:14" x14ac:dyDescent="0.35">
      <c r="L58" s="98" t="s">
        <v>9</v>
      </c>
      <c r="M58" t="s">
        <v>353</v>
      </c>
      <c r="N58" t="str">
        <f t="shared" si="0"/>
        <v>Student Residence_Residential Facility, Lodging House, Garden Suite</v>
      </c>
    </row>
    <row r="59" spans="12:14" x14ac:dyDescent="0.35">
      <c r="L59" s="98" t="s">
        <v>11</v>
      </c>
      <c r="M59" t="s">
        <v>411</v>
      </c>
      <c r="N59" t="str">
        <f t="shared" si="0"/>
        <v>Transition_Single-Detached &amp; Semi-Detached</v>
      </c>
    </row>
    <row r="60" spans="12:14" x14ac:dyDescent="0.35">
      <c r="L60" s="98" t="s">
        <v>11</v>
      </c>
      <c r="M60" t="s">
        <v>352</v>
      </c>
      <c r="N60" t="str">
        <f t="shared" si="0"/>
        <v>Transition_Apartments, Stacked Towns, Mobile, 2+ BR</v>
      </c>
    </row>
    <row r="61" spans="12:14" x14ac:dyDescent="0.35">
      <c r="L61" s="98" t="s">
        <v>11</v>
      </c>
      <c r="M61" t="s">
        <v>412</v>
      </c>
      <c r="N61" t="str">
        <f t="shared" si="0"/>
        <v>Transition_Apartments, Stacked Towns, Mobile, Bachelor, 1 BR</v>
      </c>
    </row>
    <row r="62" spans="12:14" x14ac:dyDescent="0.35">
      <c r="L62" s="98" t="s">
        <v>11</v>
      </c>
      <c r="M62" t="s">
        <v>98</v>
      </c>
      <c r="N62" t="str">
        <f t="shared" si="0"/>
        <v>Transition_Townhouses &amp; Other Multiple Unit Dwellings</v>
      </c>
    </row>
    <row r="63" spans="12:14" x14ac:dyDescent="0.35">
      <c r="L63" s="98" t="s">
        <v>11</v>
      </c>
      <c r="M63" t="s">
        <v>353</v>
      </c>
      <c r="N63" t="str">
        <f t="shared" si="0"/>
        <v>Transition_Residential Facility, Lodging House, Garden Suite</v>
      </c>
    </row>
    <row r="64" spans="12:14" x14ac:dyDescent="0.35">
      <c r="L64" s="98" t="s">
        <v>11</v>
      </c>
      <c r="M64" t="s">
        <v>95</v>
      </c>
      <c r="N64" t="str">
        <f t="shared" si="0"/>
        <v>Transition_Industrial - New</v>
      </c>
    </row>
    <row r="65" spans="12:14" x14ac:dyDescent="0.35">
      <c r="L65" s="98" t="s">
        <v>11</v>
      </c>
      <c r="M65" t="s">
        <v>348</v>
      </c>
      <c r="N65" t="str">
        <f t="shared" si="0"/>
        <v>Transition_Industrial - Expansion</v>
      </c>
    </row>
    <row r="66" spans="12:14" x14ac:dyDescent="0.35">
      <c r="L66" s="98" t="s">
        <v>11</v>
      </c>
      <c r="M66" t="s">
        <v>347</v>
      </c>
      <c r="N66" t="str">
        <f t="shared" si="0"/>
        <v>Transition_Non-Industrial - New</v>
      </c>
    </row>
    <row r="67" spans="12:14" x14ac:dyDescent="0.35">
      <c r="L67" s="98" t="s">
        <v>11</v>
      </c>
      <c r="M67" t="s">
        <v>351</v>
      </c>
      <c r="N67" t="str">
        <f>CONCATENATE(L67,"_",M67)</f>
        <v>Transition_Non-Industrial - Expansion</v>
      </c>
    </row>
  </sheetData>
  <conditionalFormatting sqref="P2:P3">
    <cfRule type="expression" dxfId="26" priority="123">
      <formula>OR(#REF!&lt;&gt;0,#REF!&lt;&gt;0,#REF!&lt;&gt;0,W2&lt;&gt;0,Z2&lt;&gt;0,AD2&lt;&gt;0,AG2&lt;&gt;0,AJ2&lt;&gt;0,AM2&lt;&gt;0)</formula>
    </cfRule>
  </conditionalFormatting>
  <conditionalFormatting sqref="S19:S20">
    <cfRule type="expression" dxfId="25" priority="128">
      <formula>OR(#REF!&lt;&gt;0,#REF!&lt;&gt;0,#REF!&lt;&gt;0,Z30&lt;&gt;0,AC30&lt;&gt;0,AG30&lt;&gt;0,AJ30&lt;&gt;0,AM30&lt;&gt;0,AP30&lt;&gt;0)</formula>
    </cfRule>
  </conditionalFormatting>
  <conditionalFormatting sqref="L2:L38">
    <cfRule type="expression" dxfId="24" priority="130">
      <formula>OR(#REF!&lt;&gt;0,#REF!&lt;&gt;0,O2&lt;&gt;0,V2&lt;&gt;0,#REF!&lt;&gt;0,Z2&lt;&gt;0,AC2&lt;&gt;0,AF2&lt;&gt;0,AI2&lt;&gt;0)</formula>
    </cfRule>
  </conditionalFormatting>
  <conditionalFormatting sqref="S10">
    <cfRule type="expression" dxfId="23" priority="131">
      <formula>OR(#REF!&lt;&gt;0,#REF!&lt;&gt;0,#REF!&lt;&gt;0,Z12&lt;&gt;0,AC12&lt;&gt;0,AG12&lt;&gt;0,AJ12&lt;&gt;0,AM12&lt;&gt;0,AP12&lt;&gt;0)</formula>
    </cfRule>
  </conditionalFormatting>
  <conditionalFormatting sqref="S2:S9">
    <cfRule type="expression" dxfId="22" priority="132">
      <formula>OR(#REF!&lt;&gt;0,#REF!&lt;&gt;0,#REF!&lt;&gt;0,Z4&lt;&gt;0,AC4&lt;&gt;0,AG4&lt;&gt;0,AJ4&lt;&gt;0,AM4&lt;&gt;0,AP4&lt;&gt;0)</formula>
    </cfRule>
  </conditionalFormatting>
  <conditionalFormatting sqref="S11:S18 S21:S27">
    <cfRule type="expression" dxfId="21" priority="133">
      <formula>OR(#REF!&lt;&gt;0,#REF!&lt;&gt;0,#REF!&lt;&gt;0,Z22&lt;&gt;0,AC22&lt;&gt;0,AG22&lt;&gt;0,AJ22&lt;&gt;0,AM22&lt;&gt;0,AP22&lt;&gt;0)</formula>
    </cfRule>
  </conditionalFormatting>
  <conditionalFormatting sqref="P4:P7">
    <cfRule type="expression" dxfId="20" priority="136">
      <formula>OR(#REF!&lt;&gt;0,#REF!&lt;&gt;0,S2&lt;&gt;0,W4&lt;&gt;0,Z4&lt;&gt;0,AD4&lt;&gt;0,AG4&lt;&gt;0,AJ4&lt;&gt;0,AM4&lt;&gt;0)</formula>
    </cfRule>
  </conditionalFormatting>
  <conditionalFormatting sqref="S29">
    <cfRule type="expression" dxfId="19" priority="138">
      <formula>OR(#REF!&lt;&gt;0,#REF!&lt;&gt;0,#REF!&lt;&gt;0,#REF!&lt;&gt;0,AC40&lt;&gt;0,AG40&lt;&gt;0,AJ40&lt;&gt;0,AM40&lt;&gt;0,AP40&lt;&gt;0)</formula>
    </cfRule>
  </conditionalFormatting>
  <conditionalFormatting sqref="L48:L67">
    <cfRule type="expression" dxfId="18" priority="140">
      <formula>OR(#REF!&lt;&gt;0,#REF!&lt;&gt;0,O48&lt;&gt;0,V39&lt;&gt;0,#REF!&lt;&gt;0,Z39&lt;&gt;0,AC48&lt;&gt;0,AF48&lt;&gt;0,AI48&lt;&gt;0)</formula>
    </cfRule>
  </conditionalFormatting>
  <conditionalFormatting sqref="L39:L47">
    <cfRule type="expression" dxfId="17" priority="141">
      <formula>OR(#REF!&lt;&gt;0,#REF!&lt;&gt;0,O39&lt;&gt;0,#REF!&lt;&gt;0,#REF!&lt;&gt;0,#REF!&lt;&gt;0,AC39&lt;&gt;0,AF39&lt;&gt;0,AI39&lt;&gt;0)</formula>
    </cfRule>
  </conditionalFormatting>
  <conditionalFormatting sqref="S28">
    <cfRule type="expression" dxfId="16" priority="143">
      <formula>OR(#REF!&lt;&gt;0,#REF!&lt;&gt;0,#REF!&lt;&gt;0,#REF!&lt;&gt;0,AC39&lt;&gt;0,AG39&lt;&gt;0,AJ39&lt;&gt;0,AM39&lt;&gt;0,AP39&lt;&gt;0)</formula>
    </cfRule>
  </conditionalFormatting>
  <conditionalFormatting sqref="S30">
    <cfRule type="expression" dxfId="15" priority="144">
      <formula>OR(#REF!&lt;&gt;0,#REF!&lt;&gt;0,#REF!&lt;&gt;0,#REF!&lt;&gt;0,AC47&lt;&gt;0,AG47&lt;&gt;0,AJ47&lt;&gt;0,AM47&lt;&gt;0,AP47&lt;&gt;0)</formula>
    </cfRule>
  </conditionalFormatting>
  <conditionalFormatting sqref="S31:S38">
    <cfRule type="expression" dxfId="14" priority="145">
      <formula>OR(#REF!&lt;&gt;0,#REF!&lt;&gt;0,#REF!&lt;&gt;0,Z42&lt;&gt;0,AC51&lt;&gt;0,AG51&lt;&gt;0,AJ51&lt;&gt;0,AM51&lt;&gt;0,AP51&lt;&gt;0)</formula>
    </cfRule>
  </conditionalFormatting>
  <pageMargins left="0.7" right="0.7" top="0.75" bottom="0.75" header="0.3" footer="0.3"/>
  <pageSetup orientation="portrait" r:id="rId1"/>
  <tableParts count="4">
    <tablePart r:id="rId2"/>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0175B-E4F7-4423-9254-C4D779E3EAD7}">
  <sheetPr>
    <pageSetUpPr fitToPage="1"/>
  </sheetPr>
  <dimension ref="A1:H33"/>
  <sheetViews>
    <sheetView showGridLines="0" tabSelected="1" zoomScale="90" zoomScaleNormal="90" zoomScaleSheetLayoutView="90" workbookViewId="0">
      <selection activeCell="C17" sqref="C17"/>
    </sheetView>
  </sheetViews>
  <sheetFormatPr defaultColWidth="9.1796875" defaultRowHeight="14.5" x14ac:dyDescent="0.35"/>
  <cols>
    <col min="1" max="1" width="54" style="497" customWidth="1"/>
    <col min="2" max="3" width="21.81640625" style="497" customWidth="1"/>
    <col min="4" max="4" width="33.1796875" style="497" customWidth="1"/>
    <col min="5" max="5" width="9.1796875" style="497"/>
    <col min="6" max="6" width="13.453125" style="497" customWidth="1"/>
    <col min="7" max="7" width="9.1796875" style="497"/>
    <col min="8" max="8" width="12.81640625" style="497" customWidth="1"/>
    <col min="9" max="9" width="9.1796875" style="497"/>
    <col min="10" max="10" width="12.81640625" style="497" customWidth="1"/>
    <col min="11" max="16384" width="9.1796875" style="497"/>
  </cols>
  <sheetData>
    <row r="1" spans="1:8" ht="28.5" customHeight="1" x14ac:dyDescent="0.5">
      <c r="A1" s="480"/>
      <c r="B1" s="481"/>
      <c r="C1" s="481"/>
      <c r="D1" s="482" t="s">
        <v>492</v>
      </c>
    </row>
    <row r="2" spans="1:8" ht="17.149999999999999" customHeight="1" x14ac:dyDescent="0.5">
      <c r="A2" s="483"/>
      <c r="B2" s="484"/>
      <c r="C2" s="484"/>
      <c r="D2" s="485" t="s">
        <v>493</v>
      </c>
    </row>
    <row r="3" spans="1:8" ht="17.149999999999999" customHeight="1" x14ac:dyDescent="0.35">
      <c r="A3" s="483"/>
      <c r="B3" s="484"/>
      <c r="C3" s="484"/>
      <c r="D3" s="486" t="s">
        <v>502</v>
      </c>
    </row>
    <row r="4" spans="1:8" ht="17.149999999999999" customHeight="1" x14ac:dyDescent="0.5">
      <c r="A4" s="483"/>
      <c r="B4" s="484"/>
      <c r="C4" s="484"/>
      <c r="D4" s="487"/>
      <c r="E4" s="498"/>
    </row>
    <row r="5" spans="1:8" ht="18" customHeight="1" x14ac:dyDescent="0.45">
      <c r="A5" s="483"/>
      <c r="B5" s="488"/>
      <c r="C5" s="489" t="s">
        <v>503</v>
      </c>
      <c r="D5" s="490">
        <f ca="1">TODAY()</f>
        <v>44935</v>
      </c>
      <c r="E5" s="499"/>
      <c r="F5" s="500"/>
    </row>
    <row r="6" spans="1:8" ht="5.5" customHeight="1" x14ac:dyDescent="0.35">
      <c r="A6" s="501"/>
      <c r="B6" s="484"/>
      <c r="C6" s="484"/>
      <c r="D6" s="487"/>
      <c r="E6" s="502"/>
    </row>
    <row r="7" spans="1:8" ht="7" customHeight="1" x14ac:dyDescent="0.35">
      <c r="A7" s="503"/>
      <c r="B7" s="504"/>
      <c r="C7" s="504"/>
      <c r="D7" s="505"/>
    </row>
    <row r="8" spans="1:8" s="506" customFormat="1" x14ac:dyDescent="0.35">
      <c r="A8" s="603"/>
      <c r="B8" s="604"/>
      <c r="C8" s="604"/>
      <c r="D8" s="605"/>
    </row>
    <row r="9" spans="1:8" s="506" customFormat="1" x14ac:dyDescent="0.35">
      <c r="A9" s="603"/>
      <c r="B9" s="604"/>
      <c r="C9" s="604"/>
      <c r="D9" s="605"/>
    </row>
    <row r="10" spans="1:8" s="506" customFormat="1" x14ac:dyDescent="0.35">
      <c r="A10" s="603"/>
      <c r="B10" s="604"/>
      <c r="C10" s="604"/>
      <c r="D10" s="605"/>
    </row>
    <row r="11" spans="1:8" s="506" customFormat="1" x14ac:dyDescent="0.35">
      <c r="A11" s="603"/>
      <c r="B11" s="604"/>
      <c r="C11" s="604"/>
      <c r="D11" s="605"/>
    </row>
    <row r="12" spans="1:8" x14ac:dyDescent="0.35">
      <c r="A12" s="503"/>
      <c r="B12" s="504"/>
      <c r="C12" s="504"/>
      <c r="D12" s="505"/>
    </row>
    <row r="13" spans="1:8" ht="18.5" x14ac:dyDescent="0.35">
      <c r="A13" s="606"/>
      <c r="B13" s="607"/>
      <c r="C13" s="607"/>
      <c r="D13" s="608"/>
      <c r="E13" s="507"/>
    </row>
    <row r="14" spans="1:8" ht="33" customHeight="1" x14ac:dyDescent="0.35">
      <c r="A14" s="606"/>
      <c r="B14" s="607"/>
      <c r="C14" s="607"/>
      <c r="D14" s="608"/>
      <c r="E14" s="507"/>
      <c r="H14" s="508">
        <v>43831</v>
      </c>
    </row>
    <row r="15" spans="1:8" ht="6" customHeight="1" x14ac:dyDescent="0.35">
      <c r="A15" s="509"/>
      <c r="B15" s="504"/>
      <c r="C15" s="504"/>
      <c r="D15" s="505"/>
    </row>
    <row r="16" spans="1:8" ht="37" x14ac:dyDescent="0.45">
      <c r="A16" s="491"/>
      <c r="B16" s="492" t="s">
        <v>494</v>
      </c>
      <c r="C16" s="492" t="s">
        <v>495</v>
      </c>
      <c r="D16" s="493" t="s">
        <v>496</v>
      </c>
      <c r="E16" s="500"/>
    </row>
    <row r="17" spans="1:6" ht="18.5" x14ac:dyDescent="0.45">
      <c r="A17" s="494" t="s">
        <v>497</v>
      </c>
      <c r="B17" s="510"/>
      <c r="C17" s="511">
        <v>44562</v>
      </c>
      <c r="D17" s="512">
        <v>44562</v>
      </c>
      <c r="E17" s="513"/>
    </row>
    <row r="18" spans="1:6" ht="18.5" hidden="1" x14ac:dyDescent="0.45">
      <c r="A18" s="494" t="s">
        <v>498</v>
      </c>
      <c r="B18" s="510">
        <f>+[1]Summary!B14</f>
        <v>0</v>
      </c>
      <c r="C18" s="511">
        <f>+[1]Summary!C14</f>
        <v>0</v>
      </c>
      <c r="D18" s="512">
        <f>+[1]Summary!D14</f>
        <v>0</v>
      </c>
      <c r="E18" s="513"/>
    </row>
    <row r="19" spans="1:6" ht="18.5" x14ac:dyDescent="0.45">
      <c r="A19" s="494" t="s">
        <v>499</v>
      </c>
      <c r="B19" s="510"/>
      <c r="C19" s="511">
        <v>44562</v>
      </c>
      <c r="D19" s="512">
        <v>44562</v>
      </c>
      <c r="E19" s="514"/>
    </row>
    <row r="20" spans="1:6" ht="11.5" customHeight="1" x14ac:dyDescent="0.45">
      <c r="A20" s="494"/>
      <c r="B20" s="504"/>
      <c r="C20" s="515"/>
      <c r="D20" s="516"/>
    </row>
    <row r="21" spans="1:6" ht="18.5" x14ac:dyDescent="0.45">
      <c r="A21" s="517" t="s">
        <v>504</v>
      </c>
      <c r="B21" s="518"/>
      <c r="C21" s="519"/>
      <c r="D21" s="520">
        <f>IF(AND(C17&lt;H14,C18&lt;H14),0,IF((C17&gt;C18),C17,C18))</f>
        <v>44562</v>
      </c>
    </row>
    <row r="22" spans="1:6" ht="18.5" hidden="1" x14ac:dyDescent="0.45">
      <c r="A22" s="494" t="s">
        <v>505</v>
      </c>
      <c r="B22" s="504"/>
      <c r="C22" s="515"/>
      <c r="D22" s="521">
        <f>INT((D21-4)/7)*7+4</f>
        <v>44559</v>
      </c>
    </row>
    <row r="23" spans="1:6" ht="19" thickBot="1" x14ac:dyDescent="0.5">
      <c r="A23" s="494" t="s">
        <v>506</v>
      </c>
      <c r="B23" s="504"/>
      <c r="C23" s="515"/>
      <c r="D23" s="522">
        <f>VLOOKUP(D22,chartered_bank_interest!A:L,2,FALSE)/100</f>
        <v>2.4500000000000001E-2</v>
      </c>
    </row>
    <row r="24" spans="1:6" ht="19" thickBot="1" x14ac:dyDescent="0.5">
      <c r="A24" s="495" t="s">
        <v>500</v>
      </c>
      <c r="B24" s="523"/>
      <c r="C24" s="524"/>
      <c r="D24" s="525">
        <f>IF(C17&gt;C18,DATE(YEAR(D17)+2,MONTH(D17),DAY(D17)),DATE(YEAR(D18)+2,MONTH(D18),DAY(D18)))</f>
        <v>45292</v>
      </c>
      <c r="E24" s="500"/>
    </row>
    <row r="25" spans="1:6" ht="19" thickBot="1" x14ac:dyDescent="0.5">
      <c r="A25" s="496" t="s">
        <v>501</v>
      </c>
      <c r="B25" s="526"/>
      <c r="C25" s="527"/>
      <c r="D25" s="528">
        <f>MIN(D24,EDATE(D21,ROUNDDOWN((D19-D21)/182.5,0)*6+6))</f>
        <v>44743</v>
      </c>
      <c r="E25" s="500"/>
    </row>
    <row r="26" spans="1:6" ht="18.5" x14ac:dyDescent="0.45">
      <c r="A26" s="609" t="s">
        <v>507</v>
      </c>
      <c r="B26" s="610"/>
      <c r="C26" s="610"/>
      <c r="D26" s="611"/>
      <c r="F26" s="529"/>
    </row>
    <row r="27" spans="1:6" ht="18.5" x14ac:dyDescent="0.45">
      <c r="A27" s="530"/>
      <c r="B27" s="531" t="s">
        <v>508</v>
      </c>
      <c r="C27" s="531" t="s">
        <v>509</v>
      </c>
      <c r="D27" s="532" t="s">
        <v>219</v>
      </c>
    </row>
    <row r="28" spans="1:6" ht="18.5" x14ac:dyDescent="0.45">
      <c r="A28" s="530" t="s">
        <v>510</v>
      </c>
      <c r="B28" s="533">
        <v>1</v>
      </c>
      <c r="C28" s="533">
        <v>1</v>
      </c>
      <c r="D28" s="534">
        <f>+[1]Summary!D27</f>
        <v>0</v>
      </c>
    </row>
    <row r="29" spans="1:6" ht="18.5" x14ac:dyDescent="0.45">
      <c r="A29" s="530" t="s">
        <v>511</v>
      </c>
      <c r="B29" s="535">
        <f>IF($D$19&gt;$D$24,"LOCK IN RATE HAS EXPIRED, CALCULATE USING CURRENT DC RATES",B28)</f>
        <v>1</v>
      </c>
      <c r="C29" s="535">
        <f>IF($D$19&gt;$D$24,"LOCK IN RATE HAS EXPIRED, CALCULATE USING CURRENT DC RATES",C28)</f>
        <v>1</v>
      </c>
      <c r="D29" s="536">
        <f>IF($D$19&gt;$D$24,"LOCK IN RATE HAS EXPIRED, CALCULATE USING CURRENT DC RATES",D28)</f>
        <v>0</v>
      </c>
    </row>
    <row r="30" spans="1:6" ht="18.5" x14ac:dyDescent="0.45">
      <c r="A30" s="530" t="s">
        <v>512</v>
      </c>
      <c r="B30" s="535">
        <f>IF(B29="LOCK IN RATE HAS EXPIRED, CALCULATE USING CURRENT DC RATES",0,(-FV($D$23/2,(ROUNDDOWN((D19-D21)/182.5,0)),0,B28,0))-B28)</f>
        <v>0</v>
      </c>
      <c r="C30" s="535">
        <f>IF(C29="LOCK IN RATE HAS EXPIRED, CALCULATE USING CURRENT DC RATES",0,(-FV($D$23/2,(ROUNDDOWN((D19-D21)/182.5,0)),0,C28,0))-C28)</f>
        <v>0</v>
      </c>
      <c r="D30" s="536">
        <f>IF(D29="LOCK IN RATE HAS EXPIRED, CALCULATE USING CURRENT DC RATES",0,(-FV($D$23/2,(ROUNDDOWN((D19-D21)/182.5,0)),0,D28,0))-D28)</f>
        <v>0</v>
      </c>
      <c r="E30" s="500"/>
    </row>
    <row r="31" spans="1:6" ht="19" thickBot="1" x14ac:dyDescent="0.5">
      <c r="A31" s="537" t="s">
        <v>511</v>
      </c>
      <c r="B31" s="538">
        <f>SUBTOTAL(9,B29:B30)</f>
        <v>1</v>
      </c>
      <c r="C31" s="538">
        <f>SUBTOTAL(9,C29:C30)</f>
        <v>1</v>
      </c>
      <c r="D31" s="539">
        <f>SUBTOTAL(9,D29:D30)</f>
        <v>0</v>
      </c>
      <c r="F31" s="500"/>
    </row>
    <row r="32" spans="1:6" ht="19" thickBot="1" x14ac:dyDescent="0.5">
      <c r="A32" s="540" t="s">
        <v>513</v>
      </c>
      <c r="B32" s="541"/>
      <c r="C32" s="541"/>
      <c r="D32" s="542">
        <f>SUM(B31:D31)</f>
        <v>2</v>
      </c>
      <c r="F32" s="500"/>
    </row>
    <row r="33" spans="1:1" ht="15.5" x14ac:dyDescent="0.35">
      <c r="A33" s="543" t="s">
        <v>514</v>
      </c>
    </row>
  </sheetData>
  <mergeCells count="3">
    <mergeCell ref="A8:D11"/>
    <mergeCell ref="A13:D14"/>
    <mergeCell ref="A26:D26"/>
  </mergeCells>
  <pageMargins left="0.7" right="0.7" top="0.75" bottom="0.75" header="0.3" footer="0.3"/>
  <pageSetup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7D10B-8352-42F9-B564-F567617C2CD0}">
  <dimension ref="A1:K2937"/>
  <sheetViews>
    <sheetView workbookViewId="0">
      <selection activeCell="A10" sqref="A10"/>
    </sheetView>
  </sheetViews>
  <sheetFormatPr defaultRowHeight="14.5" x14ac:dyDescent="0.35"/>
  <cols>
    <col min="1" max="1" width="63.54296875" bestFit="1" customWidth="1"/>
    <col min="2" max="2" width="41" style="544" bestFit="1" customWidth="1"/>
    <col min="3" max="3" width="31.453125" bestFit="1" customWidth="1"/>
    <col min="4" max="11" width="9.90625" bestFit="1" customWidth="1"/>
  </cols>
  <sheetData>
    <row r="1" spans="1:3" x14ac:dyDescent="0.35">
      <c r="A1" t="s">
        <v>515</v>
      </c>
    </row>
    <row r="2" spans="1:3" x14ac:dyDescent="0.35">
      <c r="A2" t="s">
        <v>516</v>
      </c>
    </row>
    <row r="4" spans="1:3" x14ac:dyDescent="0.35">
      <c r="A4" t="s">
        <v>522</v>
      </c>
    </row>
    <row r="5" spans="1:3" x14ac:dyDescent="0.35">
      <c r="A5" t="s">
        <v>523</v>
      </c>
    </row>
    <row r="7" spans="1:3" x14ac:dyDescent="0.35">
      <c r="A7" t="s">
        <v>524</v>
      </c>
    </row>
    <row r="8" spans="1:3" x14ac:dyDescent="0.35">
      <c r="A8" t="s">
        <v>525</v>
      </c>
    </row>
    <row r="10" spans="1:3" x14ac:dyDescent="0.35">
      <c r="A10" t="s">
        <v>526</v>
      </c>
    </row>
    <row r="11" spans="1:3" x14ac:dyDescent="0.35">
      <c r="A11" t="s">
        <v>527</v>
      </c>
    </row>
    <row r="13" spans="1:3" x14ac:dyDescent="0.35">
      <c r="A13" t="s">
        <v>517</v>
      </c>
    </row>
    <row r="14" spans="1:3" x14ac:dyDescent="0.35">
      <c r="A14" t="s">
        <v>518</v>
      </c>
      <c r="B14" s="544" t="s">
        <v>528</v>
      </c>
      <c r="C14" t="s">
        <v>519</v>
      </c>
    </row>
    <row r="15" spans="1:3" x14ac:dyDescent="0.35">
      <c r="A15" t="s">
        <v>529</v>
      </c>
      <c r="B15" s="544" t="s">
        <v>520</v>
      </c>
      <c r="C15" t="s">
        <v>20</v>
      </c>
    </row>
    <row r="16" spans="1:3" x14ac:dyDescent="0.35">
      <c r="A16" t="s">
        <v>530</v>
      </c>
      <c r="B16" s="544" t="s">
        <v>531</v>
      </c>
      <c r="C16" t="s">
        <v>532</v>
      </c>
    </row>
    <row r="17" spans="1:11" x14ac:dyDescent="0.35">
      <c r="A17" t="s">
        <v>533</v>
      </c>
      <c r="B17" s="544" t="s">
        <v>534</v>
      </c>
      <c r="C17" t="s">
        <v>532</v>
      </c>
    </row>
    <row r="18" spans="1:11" x14ac:dyDescent="0.35">
      <c r="A18" t="s">
        <v>535</v>
      </c>
      <c r="B18" s="544" t="s">
        <v>536</v>
      </c>
      <c r="C18" t="s">
        <v>532</v>
      </c>
    </row>
    <row r="19" spans="1:11" x14ac:dyDescent="0.35">
      <c r="A19" t="s">
        <v>537</v>
      </c>
      <c r="B19" s="544" t="s">
        <v>531</v>
      </c>
      <c r="C19" t="s">
        <v>538</v>
      </c>
    </row>
    <row r="20" spans="1:11" x14ac:dyDescent="0.35">
      <c r="A20" t="s">
        <v>539</v>
      </c>
      <c r="B20" s="544" t="s">
        <v>534</v>
      </c>
      <c r="C20" t="s">
        <v>538</v>
      </c>
    </row>
    <row r="21" spans="1:11" x14ac:dyDescent="0.35">
      <c r="A21" t="s">
        <v>540</v>
      </c>
      <c r="B21" s="544" t="s">
        <v>536</v>
      </c>
      <c r="C21" t="s">
        <v>538</v>
      </c>
    </row>
    <row r="22" spans="1:11" x14ac:dyDescent="0.35">
      <c r="A22" t="s">
        <v>541</v>
      </c>
      <c r="B22" s="544" t="s">
        <v>542</v>
      </c>
    </row>
    <row r="23" spans="1:11" x14ac:dyDescent="0.35">
      <c r="A23" t="s">
        <v>543</v>
      </c>
      <c r="B23" s="544" t="s">
        <v>544</v>
      </c>
    </row>
    <row r="24" spans="1:11" x14ac:dyDescent="0.35">
      <c r="A24" t="s">
        <v>545</v>
      </c>
      <c r="B24" s="544" t="s">
        <v>546</v>
      </c>
    </row>
    <row r="26" spans="1:11" x14ac:dyDescent="0.35">
      <c r="A26" t="s">
        <v>521</v>
      </c>
    </row>
    <row r="27" spans="1:11" x14ac:dyDescent="0.35">
      <c r="A27" t="s">
        <v>147</v>
      </c>
      <c r="B27" s="544" t="s">
        <v>529</v>
      </c>
      <c r="C27" t="s">
        <v>530</v>
      </c>
      <c r="D27" t="s">
        <v>533</v>
      </c>
      <c r="E27" t="s">
        <v>535</v>
      </c>
      <c r="F27" t="s">
        <v>537</v>
      </c>
      <c r="G27" t="s">
        <v>539</v>
      </c>
      <c r="H27" t="s">
        <v>540</v>
      </c>
      <c r="I27" t="s">
        <v>541</v>
      </c>
      <c r="J27" t="s">
        <v>543</v>
      </c>
      <c r="K27" t="s">
        <v>545</v>
      </c>
    </row>
    <row r="28" spans="1:11" x14ac:dyDescent="0.35">
      <c r="A28" s="204">
        <v>24567</v>
      </c>
      <c r="K28">
        <v>4.5</v>
      </c>
    </row>
    <row r="29" spans="1:11" x14ac:dyDescent="0.35">
      <c r="A29" s="204">
        <v>24574</v>
      </c>
      <c r="K29">
        <v>4.5</v>
      </c>
    </row>
    <row r="30" spans="1:11" x14ac:dyDescent="0.35">
      <c r="A30" s="204">
        <v>24581</v>
      </c>
      <c r="K30">
        <v>4.5</v>
      </c>
    </row>
    <row r="31" spans="1:11" x14ac:dyDescent="0.35">
      <c r="A31" s="204">
        <v>24588</v>
      </c>
      <c r="K31">
        <v>4.5</v>
      </c>
    </row>
    <row r="32" spans="1:11" x14ac:dyDescent="0.35">
      <c r="A32" s="204">
        <v>24595</v>
      </c>
      <c r="K32">
        <v>4.5</v>
      </c>
    </row>
    <row r="33" spans="1:11" x14ac:dyDescent="0.35">
      <c r="A33" s="204">
        <v>24602</v>
      </c>
      <c r="K33">
        <v>4.5</v>
      </c>
    </row>
    <row r="34" spans="1:11" x14ac:dyDescent="0.35">
      <c r="A34" s="204">
        <v>24609</v>
      </c>
      <c r="K34">
        <v>4.5</v>
      </c>
    </row>
    <row r="35" spans="1:11" x14ac:dyDescent="0.35">
      <c r="A35" s="204">
        <v>24616</v>
      </c>
      <c r="K35">
        <v>4.5</v>
      </c>
    </row>
    <row r="36" spans="1:11" x14ac:dyDescent="0.35">
      <c r="A36" s="204">
        <v>24623</v>
      </c>
      <c r="K36">
        <v>4.5</v>
      </c>
    </row>
    <row r="37" spans="1:11" x14ac:dyDescent="0.35">
      <c r="A37" s="204">
        <v>24630</v>
      </c>
      <c r="K37">
        <v>4.5</v>
      </c>
    </row>
    <row r="38" spans="1:11" x14ac:dyDescent="0.35">
      <c r="A38" s="204">
        <v>24637</v>
      </c>
      <c r="K38">
        <v>4.5</v>
      </c>
    </row>
    <row r="39" spans="1:11" x14ac:dyDescent="0.35">
      <c r="A39" s="204">
        <v>24644</v>
      </c>
      <c r="K39">
        <v>4.5</v>
      </c>
    </row>
    <row r="40" spans="1:11" x14ac:dyDescent="0.35">
      <c r="A40" s="204">
        <v>24651</v>
      </c>
      <c r="K40">
        <v>4.5</v>
      </c>
    </row>
    <row r="41" spans="1:11" x14ac:dyDescent="0.35">
      <c r="A41" s="204">
        <v>24658</v>
      </c>
      <c r="K41">
        <v>4.5</v>
      </c>
    </row>
    <row r="42" spans="1:11" x14ac:dyDescent="0.35">
      <c r="A42" s="204">
        <v>24665</v>
      </c>
      <c r="K42">
        <v>4.5</v>
      </c>
    </row>
    <row r="43" spans="1:11" x14ac:dyDescent="0.35">
      <c r="A43" s="204">
        <v>24672</v>
      </c>
      <c r="K43">
        <v>4.5</v>
      </c>
    </row>
    <row r="44" spans="1:11" x14ac:dyDescent="0.35">
      <c r="A44" s="204">
        <v>24679</v>
      </c>
      <c r="K44">
        <v>4.5</v>
      </c>
    </row>
    <row r="45" spans="1:11" x14ac:dyDescent="0.35">
      <c r="A45" s="204">
        <v>24686</v>
      </c>
      <c r="K45">
        <v>4.5</v>
      </c>
    </row>
    <row r="46" spans="1:11" x14ac:dyDescent="0.35">
      <c r="A46" s="204">
        <v>24693</v>
      </c>
      <c r="K46">
        <v>4.5</v>
      </c>
    </row>
    <row r="47" spans="1:11" x14ac:dyDescent="0.35">
      <c r="A47" s="204">
        <v>24700</v>
      </c>
      <c r="K47">
        <v>4.5</v>
      </c>
    </row>
    <row r="48" spans="1:11" x14ac:dyDescent="0.35">
      <c r="A48" s="204">
        <v>24707</v>
      </c>
      <c r="K48">
        <v>4.5</v>
      </c>
    </row>
    <row r="49" spans="1:11" x14ac:dyDescent="0.35">
      <c r="A49" s="204">
        <v>24714</v>
      </c>
      <c r="K49">
        <v>4.5</v>
      </c>
    </row>
    <row r="50" spans="1:11" x14ac:dyDescent="0.35">
      <c r="A50" s="204">
        <v>24721</v>
      </c>
      <c r="K50">
        <v>4.5</v>
      </c>
    </row>
    <row r="51" spans="1:11" x14ac:dyDescent="0.35">
      <c r="A51" s="204">
        <v>24728</v>
      </c>
      <c r="K51">
        <v>4.5</v>
      </c>
    </row>
    <row r="52" spans="1:11" x14ac:dyDescent="0.35">
      <c r="A52" s="204">
        <v>24735</v>
      </c>
      <c r="K52">
        <v>4.5</v>
      </c>
    </row>
    <row r="53" spans="1:11" x14ac:dyDescent="0.35">
      <c r="A53" s="204">
        <v>24742</v>
      </c>
      <c r="K53">
        <v>4.5</v>
      </c>
    </row>
    <row r="54" spans="1:11" x14ac:dyDescent="0.35">
      <c r="A54" s="204">
        <v>24749</v>
      </c>
      <c r="K54">
        <v>4.5</v>
      </c>
    </row>
    <row r="55" spans="1:11" x14ac:dyDescent="0.35">
      <c r="A55" s="204">
        <v>24756</v>
      </c>
      <c r="K55">
        <v>4.5</v>
      </c>
    </row>
    <row r="56" spans="1:11" x14ac:dyDescent="0.35">
      <c r="A56" s="204">
        <v>24763</v>
      </c>
      <c r="K56">
        <v>4.5</v>
      </c>
    </row>
    <row r="57" spans="1:11" x14ac:dyDescent="0.35">
      <c r="A57" s="204">
        <v>24770</v>
      </c>
      <c r="K57">
        <v>4.5</v>
      </c>
    </row>
    <row r="58" spans="1:11" x14ac:dyDescent="0.35">
      <c r="A58" s="204">
        <v>24777</v>
      </c>
      <c r="K58">
        <v>4.5</v>
      </c>
    </row>
    <row r="59" spans="1:11" x14ac:dyDescent="0.35">
      <c r="A59" s="204">
        <v>24784</v>
      </c>
      <c r="K59">
        <v>4.5</v>
      </c>
    </row>
    <row r="60" spans="1:11" x14ac:dyDescent="0.35">
      <c r="A60" s="204">
        <v>24791</v>
      </c>
      <c r="K60">
        <v>4.5</v>
      </c>
    </row>
    <row r="61" spans="1:11" x14ac:dyDescent="0.35">
      <c r="A61" s="204">
        <v>24798</v>
      </c>
      <c r="K61">
        <v>4.5</v>
      </c>
    </row>
    <row r="62" spans="1:11" x14ac:dyDescent="0.35">
      <c r="A62" s="204">
        <v>24805</v>
      </c>
      <c r="K62">
        <v>4.5</v>
      </c>
    </row>
    <row r="63" spans="1:11" x14ac:dyDescent="0.35">
      <c r="A63" s="204">
        <v>24812</v>
      </c>
      <c r="K63">
        <v>4.5</v>
      </c>
    </row>
    <row r="64" spans="1:11" x14ac:dyDescent="0.35">
      <c r="A64" s="204">
        <v>24819</v>
      </c>
      <c r="K64">
        <v>4.5</v>
      </c>
    </row>
    <row r="65" spans="1:11" x14ac:dyDescent="0.35">
      <c r="A65" s="204">
        <v>24826</v>
      </c>
      <c r="K65">
        <v>4.5</v>
      </c>
    </row>
    <row r="66" spans="1:11" x14ac:dyDescent="0.35">
      <c r="A66" s="204">
        <v>24833</v>
      </c>
      <c r="K66">
        <v>4.5</v>
      </c>
    </row>
    <row r="67" spans="1:11" x14ac:dyDescent="0.35">
      <c r="A67" s="204">
        <v>24840</v>
      </c>
      <c r="K67">
        <v>4.5</v>
      </c>
    </row>
    <row r="68" spans="1:11" x14ac:dyDescent="0.35">
      <c r="A68" s="204">
        <v>24847</v>
      </c>
      <c r="K68">
        <v>4.5</v>
      </c>
    </row>
    <row r="69" spans="1:11" x14ac:dyDescent="0.35">
      <c r="A69" s="204">
        <v>24854</v>
      </c>
      <c r="K69">
        <v>4.5</v>
      </c>
    </row>
    <row r="70" spans="1:11" x14ac:dyDescent="0.35">
      <c r="A70" s="204">
        <v>24861</v>
      </c>
      <c r="K70">
        <v>4.5</v>
      </c>
    </row>
    <row r="71" spans="1:11" x14ac:dyDescent="0.35">
      <c r="A71" s="204">
        <v>24868</v>
      </c>
      <c r="K71">
        <v>4.5</v>
      </c>
    </row>
    <row r="72" spans="1:11" x14ac:dyDescent="0.35">
      <c r="A72" s="204">
        <v>24875</v>
      </c>
      <c r="K72">
        <v>4.5</v>
      </c>
    </row>
    <row r="73" spans="1:11" x14ac:dyDescent="0.35">
      <c r="A73" s="204">
        <v>24882</v>
      </c>
      <c r="K73">
        <v>4.5</v>
      </c>
    </row>
    <row r="74" spans="1:11" x14ac:dyDescent="0.35">
      <c r="A74" s="204">
        <v>24889</v>
      </c>
      <c r="K74">
        <v>4.5</v>
      </c>
    </row>
    <row r="75" spans="1:11" x14ac:dyDescent="0.35">
      <c r="A75" s="204">
        <v>24896</v>
      </c>
      <c r="K75">
        <v>4.5</v>
      </c>
    </row>
    <row r="76" spans="1:11" x14ac:dyDescent="0.35">
      <c r="A76" s="204">
        <v>24903</v>
      </c>
      <c r="K76">
        <v>5</v>
      </c>
    </row>
    <row r="77" spans="1:11" x14ac:dyDescent="0.35">
      <c r="A77" s="204">
        <v>24910</v>
      </c>
      <c r="K77">
        <v>5</v>
      </c>
    </row>
    <row r="78" spans="1:11" x14ac:dyDescent="0.35">
      <c r="A78" s="204">
        <v>24917</v>
      </c>
      <c r="K78">
        <v>5</v>
      </c>
    </row>
    <row r="79" spans="1:11" x14ac:dyDescent="0.35">
      <c r="A79" s="204">
        <v>24924</v>
      </c>
      <c r="K79">
        <v>5</v>
      </c>
    </row>
    <row r="80" spans="1:11" x14ac:dyDescent="0.35">
      <c r="A80" s="204">
        <v>24931</v>
      </c>
      <c r="K80">
        <v>5</v>
      </c>
    </row>
    <row r="81" spans="1:11" x14ac:dyDescent="0.35">
      <c r="A81" s="204">
        <v>24938</v>
      </c>
      <c r="K81">
        <v>5</v>
      </c>
    </row>
    <row r="82" spans="1:11" x14ac:dyDescent="0.35">
      <c r="A82" s="204">
        <v>24945</v>
      </c>
      <c r="K82">
        <v>5</v>
      </c>
    </row>
    <row r="83" spans="1:11" x14ac:dyDescent="0.35">
      <c r="A83" s="204">
        <v>24952</v>
      </c>
      <c r="K83">
        <v>5</v>
      </c>
    </row>
    <row r="84" spans="1:11" x14ac:dyDescent="0.35">
      <c r="A84" s="204">
        <v>24959</v>
      </c>
      <c r="K84">
        <v>5</v>
      </c>
    </row>
    <row r="85" spans="1:11" x14ac:dyDescent="0.35">
      <c r="A85" s="204">
        <v>24966</v>
      </c>
      <c r="K85">
        <v>5</v>
      </c>
    </row>
    <row r="86" spans="1:11" x14ac:dyDescent="0.35">
      <c r="A86" s="204">
        <v>24973</v>
      </c>
      <c r="K86">
        <v>5</v>
      </c>
    </row>
    <row r="87" spans="1:11" x14ac:dyDescent="0.35">
      <c r="A87" s="204">
        <v>24980</v>
      </c>
      <c r="K87">
        <v>5</v>
      </c>
    </row>
    <row r="88" spans="1:11" x14ac:dyDescent="0.35">
      <c r="A88" s="204">
        <v>24987</v>
      </c>
      <c r="K88">
        <v>5</v>
      </c>
    </row>
    <row r="89" spans="1:11" x14ac:dyDescent="0.35">
      <c r="A89" s="204">
        <v>24994</v>
      </c>
      <c r="K89">
        <v>5</v>
      </c>
    </row>
    <row r="90" spans="1:11" x14ac:dyDescent="0.35">
      <c r="A90" s="204">
        <v>25001</v>
      </c>
      <c r="K90">
        <v>5</v>
      </c>
    </row>
    <row r="91" spans="1:11" x14ac:dyDescent="0.35">
      <c r="A91" s="204">
        <v>25008</v>
      </c>
      <c r="K91">
        <v>5</v>
      </c>
    </row>
    <row r="92" spans="1:11" x14ac:dyDescent="0.35">
      <c r="A92" s="204">
        <v>25015</v>
      </c>
      <c r="K92">
        <v>5</v>
      </c>
    </row>
    <row r="93" spans="1:11" x14ac:dyDescent="0.35">
      <c r="A93" s="204">
        <v>25022</v>
      </c>
      <c r="I93">
        <v>7</v>
      </c>
      <c r="K93">
        <v>5</v>
      </c>
    </row>
    <row r="94" spans="1:11" x14ac:dyDescent="0.35">
      <c r="A94" s="204">
        <v>25029</v>
      </c>
      <c r="I94">
        <v>6.75</v>
      </c>
      <c r="K94">
        <v>5</v>
      </c>
    </row>
    <row r="95" spans="1:11" x14ac:dyDescent="0.35">
      <c r="A95" s="204">
        <v>25036</v>
      </c>
      <c r="I95">
        <v>6.75</v>
      </c>
      <c r="K95">
        <v>5</v>
      </c>
    </row>
    <row r="96" spans="1:11" x14ac:dyDescent="0.35">
      <c r="A96" s="204">
        <v>25043</v>
      </c>
      <c r="I96">
        <v>6.75</v>
      </c>
      <c r="K96">
        <v>5</v>
      </c>
    </row>
    <row r="97" spans="1:11" x14ac:dyDescent="0.35">
      <c r="A97" s="204">
        <v>25050</v>
      </c>
      <c r="I97">
        <v>6.5</v>
      </c>
      <c r="K97">
        <v>5</v>
      </c>
    </row>
    <row r="98" spans="1:11" x14ac:dyDescent="0.35">
      <c r="A98" s="204">
        <v>25057</v>
      </c>
      <c r="I98">
        <v>6.5</v>
      </c>
      <c r="K98">
        <v>5</v>
      </c>
    </row>
    <row r="99" spans="1:11" x14ac:dyDescent="0.35">
      <c r="A99" s="204">
        <v>25064</v>
      </c>
      <c r="I99">
        <v>6.5</v>
      </c>
      <c r="K99">
        <v>5</v>
      </c>
    </row>
    <row r="100" spans="1:11" x14ac:dyDescent="0.35">
      <c r="A100" s="204">
        <v>25071</v>
      </c>
      <c r="I100">
        <v>6.5</v>
      </c>
      <c r="K100">
        <v>5</v>
      </c>
    </row>
    <row r="101" spans="1:11" x14ac:dyDescent="0.35">
      <c r="A101" s="204">
        <v>25078</v>
      </c>
      <c r="I101">
        <v>6.5</v>
      </c>
      <c r="K101">
        <v>5</v>
      </c>
    </row>
    <row r="102" spans="1:11" x14ac:dyDescent="0.35">
      <c r="A102" s="204">
        <v>25085</v>
      </c>
      <c r="I102">
        <v>6.5</v>
      </c>
      <c r="K102">
        <v>5</v>
      </c>
    </row>
    <row r="103" spans="1:11" x14ac:dyDescent="0.35">
      <c r="A103" s="204">
        <v>25092</v>
      </c>
      <c r="I103">
        <v>6.5</v>
      </c>
      <c r="K103">
        <v>5</v>
      </c>
    </row>
    <row r="104" spans="1:11" x14ac:dyDescent="0.35">
      <c r="A104" s="204">
        <v>25099</v>
      </c>
      <c r="I104">
        <v>6.5</v>
      </c>
      <c r="K104">
        <v>5</v>
      </c>
    </row>
    <row r="105" spans="1:11" x14ac:dyDescent="0.35">
      <c r="A105" s="204">
        <v>25106</v>
      </c>
      <c r="I105">
        <v>6.5</v>
      </c>
      <c r="K105">
        <v>5</v>
      </c>
    </row>
    <row r="106" spans="1:11" x14ac:dyDescent="0.35">
      <c r="A106" s="204">
        <v>25113</v>
      </c>
      <c r="I106">
        <v>6.5</v>
      </c>
      <c r="K106">
        <v>5</v>
      </c>
    </row>
    <row r="107" spans="1:11" x14ac:dyDescent="0.35">
      <c r="A107" s="204">
        <v>25120</v>
      </c>
      <c r="I107">
        <v>6.5</v>
      </c>
      <c r="K107">
        <v>5</v>
      </c>
    </row>
    <row r="108" spans="1:11" x14ac:dyDescent="0.35">
      <c r="A108" s="204">
        <v>25127</v>
      </c>
      <c r="I108">
        <v>6.5</v>
      </c>
      <c r="K108">
        <v>5</v>
      </c>
    </row>
    <row r="109" spans="1:11" x14ac:dyDescent="0.35">
      <c r="A109" s="204">
        <v>25134</v>
      </c>
      <c r="I109">
        <v>6.5</v>
      </c>
      <c r="K109">
        <v>5</v>
      </c>
    </row>
    <row r="110" spans="1:11" x14ac:dyDescent="0.35">
      <c r="A110" s="204">
        <v>25141</v>
      </c>
      <c r="I110">
        <v>6.5</v>
      </c>
      <c r="K110">
        <v>5</v>
      </c>
    </row>
    <row r="111" spans="1:11" x14ac:dyDescent="0.35">
      <c r="A111" s="204">
        <v>25148</v>
      </c>
      <c r="I111">
        <v>6.5</v>
      </c>
      <c r="K111">
        <v>5</v>
      </c>
    </row>
    <row r="112" spans="1:11" x14ac:dyDescent="0.35">
      <c r="A112" s="204">
        <v>25155</v>
      </c>
      <c r="I112">
        <v>6.5</v>
      </c>
      <c r="K112">
        <v>5</v>
      </c>
    </row>
    <row r="113" spans="1:11" x14ac:dyDescent="0.35">
      <c r="A113" s="204">
        <v>25162</v>
      </c>
      <c r="I113">
        <v>6.5</v>
      </c>
      <c r="K113">
        <v>5</v>
      </c>
    </row>
    <row r="114" spans="1:11" x14ac:dyDescent="0.35">
      <c r="A114" s="204">
        <v>25169</v>
      </c>
      <c r="I114">
        <v>6.5</v>
      </c>
      <c r="K114">
        <v>5</v>
      </c>
    </row>
    <row r="115" spans="1:11" x14ac:dyDescent="0.35">
      <c r="A115" s="204">
        <v>25176</v>
      </c>
      <c r="I115">
        <v>6.5</v>
      </c>
      <c r="K115">
        <v>5</v>
      </c>
    </row>
    <row r="116" spans="1:11" x14ac:dyDescent="0.35">
      <c r="A116" s="204">
        <v>25183</v>
      </c>
      <c r="I116">
        <v>6.5</v>
      </c>
      <c r="K116">
        <v>5</v>
      </c>
    </row>
    <row r="117" spans="1:11" x14ac:dyDescent="0.35">
      <c r="A117" s="204">
        <v>25190</v>
      </c>
      <c r="I117">
        <v>6.5</v>
      </c>
      <c r="K117">
        <v>5</v>
      </c>
    </row>
    <row r="118" spans="1:11" x14ac:dyDescent="0.35">
      <c r="A118" s="204">
        <v>25197</v>
      </c>
      <c r="I118">
        <v>6.5</v>
      </c>
      <c r="K118">
        <v>5</v>
      </c>
    </row>
    <row r="119" spans="1:11" x14ac:dyDescent="0.35">
      <c r="A119" s="204">
        <v>25204</v>
      </c>
      <c r="I119">
        <v>6.75</v>
      </c>
      <c r="K119">
        <v>5</v>
      </c>
    </row>
    <row r="120" spans="1:11" x14ac:dyDescent="0.35">
      <c r="A120" s="204">
        <v>25211</v>
      </c>
      <c r="I120">
        <v>6.75</v>
      </c>
      <c r="K120">
        <v>5</v>
      </c>
    </row>
    <row r="121" spans="1:11" x14ac:dyDescent="0.35">
      <c r="A121" s="204">
        <v>25218</v>
      </c>
      <c r="I121">
        <v>7</v>
      </c>
      <c r="K121">
        <v>5</v>
      </c>
    </row>
    <row r="122" spans="1:11" x14ac:dyDescent="0.35">
      <c r="A122" s="204">
        <v>25225</v>
      </c>
      <c r="I122">
        <v>7</v>
      </c>
      <c r="K122">
        <v>5</v>
      </c>
    </row>
    <row r="123" spans="1:11" x14ac:dyDescent="0.35">
      <c r="A123" s="204">
        <v>25232</v>
      </c>
      <c r="I123">
        <v>7</v>
      </c>
      <c r="K123">
        <v>5</v>
      </c>
    </row>
    <row r="124" spans="1:11" x14ac:dyDescent="0.35">
      <c r="A124" s="204">
        <v>25239</v>
      </c>
      <c r="I124">
        <v>7</v>
      </c>
      <c r="K124">
        <v>5.25</v>
      </c>
    </row>
    <row r="125" spans="1:11" x14ac:dyDescent="0.35">
      <c r="A125" s="204">
        <v>25246</v>
      </c>
      <c r="I125">
        <v>7.25</v>
      </c>
      <c r="K125">
        <v>5.25</v>
      </c>
    </row>
    <row r="126" spans="1:11" x14ac:dyDescent="0.35">
      <c r="A126" s="204">
        <v>25253</v>
      </c>
      <c r="I126">
        <v>7.25</v>
      </c>
      <c r="K126">
        <v>5.25</v>
      </c>
    </row>
    <row r="127" spans="1:11" x14ac:dyDescent="0.35">
      <c r="A127" s="204">
        <v>25260</v>
      </c>
      <c r="I127">
        <v>7.25</v>
      </c>
      <c r="K127">
        <v>5.25</v>
      </c>
    </row>
    <row r="128" spans="1:11" x14ac:dyDescent="0.35">
      <c r="A128" s="204">
        <v>25267</v>
      </c>
      <c r="I128">
        <v>7.25</v>
      </c>
      <c r="K128">
        <v>5.25</v>
      </c>
    </row>
    <row r="129" spans="1:11" x14ac:dyDescent="0.35">
      <c r="A129" s="204">
        <v>25274</v>
      </c>
      <c r="I129">
        <v>7.25</v>
      </c>
      <c r="K129">
        <v>5.25</v>
      </c>
    </row>
    <row r="130" spans="1:11" x14ac:dyDescent="0.35">
      <c r="A130" s="204">
        <v>25281</v>
      </c>
      <c r="I130">
        <v>7.25</v>
      </c>
      <c r="K130">
        <v>5.25</v>
      </c>
    </row>
    <row r="131" spans="1:11" x14ac:dyDescent="0.35">
      <c r="A131" s="204">
        <v>25288</v>
      </c>
      <c r="I131">
        <v>7.25</v>
      </c>
      <c r="K131">
        <v>5.25</v>
      </c>
    </row>
    <row r="132" spans="1:11" x14ac:dyDescent="0.35">
      <c r="A132" s="204">
        <v>25295</v>
      </c>
      <c r="I132">
        <v>7.25</v>
      </c>
      <c r="K132">
        <v>5.5</v>
      </c>
    </row>
    <row r="133" spans="1:11" x14ac:dyDescent="0.35">
      <c r="A133" s="204">
        <v>25302</v>
      </c>
      <c r="I133">
        <v>7.25</v>
      </c>
      <c r="K133">
        <v>5.5</v>
      </c>
    </row>
    <row r="134" spans="1:11" x14ac:dyDescent="0.35">
      <c r="A134" s="204">
        <v>25309</v>
      </c>
      <c r="I134">
        <v>7.25</v>
      </c>
      <c r="K134">
        <v>5.5</v>
      </c>
    </row>
    <row r="135" spans="1:11" x14ac:dyDescent="0.35">
      <c r="A135" s="204">
        <v>25316</v>
      </c>
      <c r="I135">
        <v>7.25</v>
      </c>
      <c r="K135">
        <v>5.5</v>
      </c>
    </row>
    <row r="136" spans="1:11" x14ac:dyDescent="0.35">
      <c r="A136" s="204">
        <v>25323</v>
      </c>
      <c r="I136">
        <v>7.25</v>
      </c>
      <c r="K136">
        <v>5.5</v>
      </c>
    </row>
    <row r="137" spans="1:11" x14ac:dyDescent="0.35">
      <c r="A137" s="204">
        <v>25330</v>
      </c>
      <c r="I137">
        <v>7.25</v>
      </c>
      <c r="K137">
        <v>5.5</v>
      </c>
    </row>
    <row r="138" spans="1:11" x14ac:dyDescent="0.35">
      <c r="A138" s="204">
        <v>25337</v>
      </c>
      <c r="I138">
        <v>7.25</v>
      </c>
      <c r="K138">
        <v>5.5</v>
      </c>
    </row>
    <row r="139" spans="1:11" x14ac:dyDescent="0.35">
      <c r="A139" s="204">
        <v>25344</v>
      </c>
      <c r="I139">
        <v>7.25</v>
      </c>
      <c r="K139">
        <v>5.5</v>
      </c>
    </row>
    <row r="140" spans="1:11" x14ac:dyDescent="0.35">
      <c r="A140" s="204">
        <v>25351</v>
      </c>
      <c r="I140">
        <v>7.5</v>
      </c>
      <c r="K140">
        <v>5.5</v>
      </c>
    </row>
    <row r="141" spans="1:11" x14ac:dyDescent="0.35">
      <c r="A141" s="204">
        <v>25358</v>
      </c>
      <c r="I141">
        <v>7.5</v>
      </c>
      <c r="K141">
        <v>6</v>
      </c>
    </row>
    <row r="142" spans="1:11" x14ac:dyDescent="0.35">
      <c r="A142" s="204">
        <v>25365</v>
      </c>
      <c r="I142">
        <v>7.5</v>
      </c>
      <c r="K142">
        <v>6</v>
      </c>
    </row>
    <row r="143" spans="1:11" x14ac:dyDescent="0.35">
      <c r="A143" s="204">
        <v>25372</v>
      </c>
      <c r="I143">
        <v>7.5</v>
      </c>
      <c r="K143">
        <v>6</v>
      </c>
    </row>
    <row r="144" spans="1:11" x14ac:dyDescent="0.35">
      <c r="A144" s="204">
        <v>25379</v>
      </c>
      <c r="I144">
        <v>7.5</v>
      </c>
      <c r="K144">
        <v>6</v>
      </c>
    </row>
    <row r="145" spans="1:11" x14ac:dyDescent="0.35">
      <c r="A145" s="204">
        <v>25386</v>
      </c>
      <c r="I145">
        <v>7.75</v>
      </c>
      <c r="K145">
        <v>6.5</v>
      </c>
    </row>
    <row r="146" spans="1:11" x14ac:dyDescent="0.35">
      <c r="A146" s="204">
        <v>25393</v>
      </c>
      <c r="I146">
        <v>7.75</v>
      </c>
      <c r="K146">
        <v>6.5</v>
      </c>
    </row>
    <row r="147" spans="1:11" x14ac:dyDescent="0.35">
      <c r="A147" s="204">
        <v>25400</v>
      </c>
      <c r="I147">
        <v>7.75</v>
      </c>
      <c r="K147">
        <v>6.5</v>
      </c>
    </row>
    <row r="148" spans="1:11" x14ac:dyDescent="0.35">
      <c r="A148" s="204">
        <v>25407</v>
      </c>
      <c r="I148">
        <v>7.75</v>
      </c>
      <c r="K148">
        <v>6.5</v>
      </c>
    </row>
    <row r="149" spans="1:11" x14ac:dyDescent="0.35">
      <c r="A149" s="204">
        <v>25414</v>
      </c>
      <c r="I149">
        <v>7.75</v>
      </c>
      <c r="K149">
        <v>6.5</v>
      </c>
    </row>
    <row r="150" spans="1:11" x14ac:dyDescent="0.35">
      <c r="A150" s="204">
        <v>25421</v>
      </c>
      <c r="I150">
        <v>7.75</v>
      </c>
      <c r="K150">
        <v>6.5</v>
      </c>
    </row>
    <row r="151" spans="1:11" x14ac:dyDescent="0.35">
      <c r="A151" s="204">
        <v>25428</v>
      </c>
      <c r="I151">
        <v>7.75</v>
      </c>
      <c r="K151">
        <v>6.5</v>
      </c>
    </row>
    <row r="152" spans="1:11" x14ac:dyDescent="0.35">
      <c r="A152" s="204">
        <v>25435</v>
      </c>
      <c r="I152">
        <v>7.75</v>
      </c>
      <c r="K152">
        <v>6.5</v>
      </c>
    </row>
    <row r="153" spans="1:11" x14ac:dyDescent="0.35">
      <c r="A153" s="204">
        <v>25442</v>
      </c>
      <c r="I153">
        <v>7.75</v>
      </c>
      <c r="K153">
        <v>6.5</v>
      </c>
    </row>
    <row r="154" spans="1:11" x14ac:dyDescent="0.35">
      <c r="A154" s="204">
        <v>25449</v>
      </c>
      <c r="I154">
        <v>7.75</v>
      </c>
      <c r="K154">
        <v>6.5</v>
      </c>
    </row>
    <row r="155" spans="1:11" x14ac:dyDescent="0.35">
      <c r="A155" s="204">
        <v>25456</v>
      </c>
      <c r="I155">
        <v>7.75</v>
      </c>
      <c r="K155">
        <v>6.5</v>
      </c>
    </row>
    <row r="156" spans="1:11" x14ac:dyDescent="0.35">
      <c r="A156" s="204">
        <v>25463</v>
      </c>
      <c r="I156">
        <v>7.75</v>
      </c>
      <c r="K156">
        <v>6.5</v>
      </c>
    </row>
    <row r="157" spans="1:11" x14ac:dyDescent="0.35">
      <c r="A157" s="204">
        <v>25470</v>
      </c>
      <c r="I157">
        <v>7.75</v>
      </c>
      <c r="K157">
        <v>6.5</v>
      </c>
    </row>
    <row r="158" spans="1:11" x14ac:dyDescent="0.35">
      <c r="A158" s="204">
        <v>25477</v>
      </c>
      <c r="I158">
        <v>7.75</v>
      </c>
      <c r="K158">
        <v>6.5</v>
      </c>
    </row>
    <row r="159" spans="1:11" x14ac:dyDescent="0.35">
      <c r="A159" s="204">
        <v>25484</v>
      </c>
      <c r="I159">
        <v>7.75</v>
      </c>
      <c r="K159">
        <v>6.5</v>
      </c>
    </row>
    <row r="160" spans="1:11" x14ac:dyDescent="0.35">
      <c r="A160" s="204">
        <v>25491</v>
      </c>
      <c r="I160">
        <v>7.75</v>
      </c>
      <c r="K160">
        <v>6.5</v>
      </c>
    </row>
    <row r="161" spans="1:11" x14ac:dyDescent="0.35">
      <c r="A161" s="204">
        <v>25498</v>
      </c>
      <c r="I161">
        <v>7.75</v>
      </c>
      <c r="K161">
        <v>6.5</v>
      </c>
    </row>
    <row r="162" spans="1:11" x14ac:dyDescent="0.35">
      <c r="A162" s="204">
        <v>25505</v>
      </c>
      <c r="I162">
        <v>7.75</v>
      </c>
      <c r="K162">
        <v>6.5</v>
      </c>
    </row>
    <row r="163" spans="1:11" x14ac:dyDescent="0.35">
      <c r="A163" s="204">
        <v>25512</v>
      </c>
      <c r="I163">
        <v>7.75</v>
      </c>
      <c r="K163">
        <v>6.5</v>
      </c>
    </row>
    <row r="164" spans="1:11" x14ac:dyDescent="0.35">
      <c r="A164" s="204">
        <v>25519</v>
      </c>
      <c r="I164">
        <v>7.75</v>
      </c>
      <c r="K164">
        <v>6.5</v>
      </c>
    </row>
    <row r="165" spans="1:11" x14ac:dyDescent="0.35">
      <c r="A165" s="204">
        <v>25526</v>
      </c>
      <c r="I165">
        <v>7.75</v>
      </c>
      <c r="K165">
        <v>6.5</v>
      </c>
    </row>
    <row r="166" spans="1:11" x14ac:dyDescent="0.35">
      <c r="A166" s="204">
        <v>25533</v>
      </c>
      <c r="I166">
        <v>7.75</v>
      </c>
      <c r="K166">
        <v>6.5</v>
      </c>
    </row>
    <row r="167" spans="1:11" x14ac:dyDescent="0.35">
      <c r="A167" s="204">
        <v>25540</v>
      </c>
      <c r="I167">
        <v>7.75</v>
      </c>
      <c r="K167">
        <v>6.5</v>
      </c>
    </row>
    <row r="168" spans="1:11" x14ac:dyDescent="0.35">
      <c r="A168" s="204">
        <v>25547</v>
      </c>
      <c r="I168">
        <v>7.75</v>
      </c>
      <c r="K168">
        <v>6.5</v>
      </c>
    </row>
    <row r="169" spans="1:11" x14ac:dyDescent="0.35">
      <c r="A169" s="204">
        <v>25554</v>
      </c>
      <c r="I169">
        <v>7.75</v>
      </c>
      <c r="K169">
        <v>6.5</v>
      </c>
    </row>
    <row r="170" spans="1:11" x14ac:dyDescent="0.35">
      <c r="A170" s="204">
        <v>25561</v>
      </c>
      <c r="I170">
        <v>7.75</v>
      </c>
      <c r="K170">
        <v>6.5</v>
      </c>
    </row>
    <row r="171" spans="1:11" x14ac:dyDescent="0.35">
      <c r="A171" s="204">
        <v>25568</v>
      </c>
      <c r="I171">
        <v>7.75</v>
      </c>
      <c r="K171">
        <v>6.5</v>
      </c>
    </row>
    <row r="172" spans="1:11" x14ac:dyDescent="0.35">
      <c r="A172" s="204">
        <v>25575</v>
      </c>
      <c r="I172">
        <v>7.75</v>
      </c>
      <c r="K172">
        <v>6.5</v>
      </c>
    </row>
    <row r="173" spans="1:11" x14ac:dyDescent="0.35">
      <c r="A173" s="204">
        <v>25582</v>
      </c>
      <c r="I173">
        <v>7.75</v>
      </c>
      <c r="K173">
        <v>6.5</v>
      </c>
    </row>
    <row r="174" spans="1:11" x14ac:dyDescent="0.35">
      <c r="A174" s="204">
        <v>25589</v>
      </c>
      <c r="I174">
        <v>7.75</v>
      </c>
      <c r="K174">
        <v>6.5</v>
      </c>
    </row>
    <row r="175" spans="1:11" x14ac:dyDescent="0.35">
      <c r="A175" s="204">
        <v>25596</v>
      </c>
      <c r="I175">
        <v>7.75</v>
      </c>
      <c r="K175">
        <v>6.5</v>
      </c>
    </row>
    <row r="176" spans="1:11" x14ac:dyDescent="0.35">
      <c r="A176" s="204">
        <v>25603</v>
      </c>
      <c r="I176">
        <v>7.75</v>
      </c>
      <c r="K176">
        <v>6.5</v>
      </c>
    </row>
    <row r="177" spans="1:11" x14ac:dyDescent="0.35">
      <c r="A177" s="204">
        <v>25610</v>
      </c>
      <c r="I177">
        <v>7.75</v>
      </c>
      <c r="K177">
        <v>6.5</v>
      </c>
    </row>
    <row r="178" spans="1:11" x14ac:dyDescent="0.35">
      <c r="A178" s="204">
        <v>25617</v>
      </c>
      <c r="I178">
        <v>7.75</v>
      </c>
      <c r="K178">
        <v>6.5</v>
      </c>
    </row>
    <row r="179" spans="1:11" x14ac:dyDescent="0.35">
      <c r="A179" s="204">
        <v>25624</v>
      </c>
      <c r="I179">
        <v>7.75</v>
      </c>
      <c r="K179">
        <v>6.5</v>
      </c>
    </row>
    <row r="180" spans="1:11" x14ac:dyDescent="0.35">
      <c r="A180" s="204">
        <v>25631</v>
      </c>
      <c r="I180">
        <v>7.75</v>
      </c>
      <c r="K180">
        <v>6.5</v>
      </c>
    </row>
    <row r="181" spans="1:11" x14ac:dyDescent="0.35">
      <c r="A181" s="204">
        <v>25638</v>
      </c>
      <c r="I181">
        <v>7.75</v>
      </c>
      <c r="K181">
        <v>6.5</v>
      </c>
    </row>
    <row r="182" spans="1:11" x14ac:dyDescent="0.35">
      <c r="A182" s="204">
        <v>25645</v>
      </c>
      <c r="I182">
        <v>7.75</v>
      </c>
      <c r="K182">
        <v>6.5</v>
      </c>
    </row>
    <row r="183" spans="1:11" x14ac:dyDescent="0.35">
      <c r="A183" s="204">
        <v>25652</v>
      </c>
      <c r="I183">
        <v>7.75</v>
      </c>
      <c r="K183">
        <v>6.5</v>
      </c>
    </row>
    <row r="184" spans="1:11" x14ac:dyDescent="0.35">
      <c r="A184" s="204">
        <v>25659</v>
      </c>
      <c r="I184">
        <v>7.75</v>
      </c>
      <c r="K184">
        <v>6.5</v>
      </c>
    </row>
    <row r="185" spans="1:11" x14ac:dyDescent="0.35">
      <c r="A185" s="204">
        <v>25666</v>
      </c>
      <c r="I185">
        <v>7.75</v>
      </c>
      <c r="K185">
        <v>6.5</v>
      </c>
    </row>
    <row r="186" spans="1:11" x14ac:dyDescent="0.35">
      <c r="A186" s="204">
        <v>25673</v>
      </c>
      <c r="I186">
        <v>7.75</v>
      </c>
      <c r="K186">
        <v>6.5</v>
      </c>
    </row>
    <row r="187" spans="1:11" x14ac:dyDescent="0.35">
      <c r="A187" s="204">
        <v>25680</v>
      </c>
      <c r="I187">
        <v>7.75</v>
      </c>
      <c r="K187">
        <v>6.5</v>
      </c>
    </row>
    <row r="188" spans="1:11" x14ac:dyDescent="0.35">
      <c r="A188" s="204">
        <v>25687</v>
      </c>
      <c r="I188">
        <v>7.75</v>
      </c>
      <c r="K188">
        <v>6.5</v>
      </c>
    </row>
    <row r="189" spans="1:11" x14ac:dyDescent="0.35">
      <c r="A189" s="204">
        <v>25694</v>
      </c>
      <c r="I189">
        <v>7.75</v>
      </c>
      <c r="K189">
        <v>6.5</v>
      </c>
    </row>
    <row r="190" spans="1:11" x14ac:dyDescent="0.35">
      <c r="A190" s="204">
        <v>25701</v>
      </c>
      <c r="I190">
        <v>7.75</v>
      </c>
      <c r="K190">
        <v>6.5</v>
      </c>
    </row>
    <row r="191" spans="1:11" x14ac:dyDescent="0.35">
      <c r="A191" s="204">
        <v>25708</v>
      </c>
      <c r="I191">
        <v>7.75</v>
      </c>
      <c r="K191">
        <v>6.5</v>
      </c>
    </row>
    <row r="192" spans="1:11" x14ac:dyDescent="0.35">
      <c r="A192" s="204">
        <v>25715</v>
      </c>
      <c r="I192">
        <v>7.75</v>
      </c>
      <c r="K192">
        <v>6.5</v>
      </c>
    </row>
    <row r="193" spans="1:11" x14ac:dyDescent="0.35">
      <c r="A193" s="204">
        <v>25722</v>
      </c>
      <c r="I193">
        <v>7.75</v>
      </c>
      <c r="K193">
        <v>6.5</v>
      </c>
    </row>
    <row r="194" spans="1:11" x14ac:dyDescent="0.35">
      <c r="A194" s="204">
        <v>25729</v>
      </c>
      <c r="I194">
        <v>7.75</v>
      </c>
      <c r="K194">
        <v>6.5</v>
      </c>
    </row>
    <row r="195" spans="1:11" x14ac:dyDescent="0.35">
      <c r="A195" s="204">
        <v>25736</v>
      </c>
      <c r="I195">
        <v>7.75</v>
      </c>
      <c r="K195">
        <v>6.5</v>
      </c>
    </row>
    <row r="196" spans="1:11" x14ac:dyDescent="0.35">
      <c r="A196" s="204">
        <v>25743</v>
      </c>
      <c r="I196">
        <v>7.75</v>
      </c>
      <c r="K196">
        <v>6.5</v>
      </c>
    </row>
    <row r="197" spans="1:11" x14ac:dyDescent="0.35">
      <c r="A197" s="204">
        <v>25750</v>
      </c>
      <c r="I197">
        <v>7.75</v>
      </c>
      <c r="K197">
        <v>6</v>
      </c>
    </row>
    <row r="198" spans="1:11" x14ac:dyDescent="0.35">
      <c r="A198" s="204">
        <v>25757</v>
      </c>
      <c r="I198">
        <v>7.75</v>
      </c>
      <c r="K198">
        <v>6</v>
      </c>
    </row>
    <row r="199" spans="1:11" x14ac:dyDescent="0.35">
      <c r="A199" s="204">
        <v>25764</v>
      </c>
      <c r="I199">
        <v>7.75</v>
      </c>
      <c r="K199">
        <v>6</v>
      </c>
    </row>
    <row r="200" spans="1:11" x14ac:dyDescent="0.35">
      <c r="A200" s="204">
        <v>25771</v>
      </c>
      <c r="I200">
        <v>7.75</v>
      </c>
      <c r="K200">
        <v>6</v>
      </c>
    </row>
    <row r="201" spans="1:11" x14ac:dyDescent="0.35">
      <c r="A201" s="204">
        <v>25778</v>
      </c>
      <c r="I201">
        <v>7.75</v>
      </c>
      <c r="K201">
        <v>6</v>
      </c>
    </row>
    <row r="202" spans="1:11" x14ac:dyDescent="0.35">
      <c r="A202" s="204">
        <v>25785</v>
      </c>
      <c r="I202">
        <v>7.75</v>
      </c>
      <c r="K202">
        <v>6</v>
      </c>
    </row>
    <row r="203" spans="1:11" x14ac:dyDescent="0.35">
      <c r="A203" s="204">
        <v>25792</v>
      </c>
      <c r="I203">
        <v>7.75</v>
      </c>
      <c r="K203">
        <v>6</v>
      </c>
    </row>
    <row r="204" spans="1:11" x14ac:dyDescent="0.35">
      <c r="A204" s="204">
        <v>25799</v>
      </c>
      <c r="I204">
        <v>7.75</v>
      </c>
      <c r="K204">
        <v>6</v>
      </c>
    </row>
    <row r="205" spans="1:11" x14ac:dyDescent="0.35">
      <c r="A205" s="204">
        <v>25806</v>
      </c>
      <c r="I205">
        <v>7.75</v>
      </c>
      <c r="K205">
        <v>6</v>
      </c>
    </row>
    <row r="206" spans="1:11" x14ac:dyDescent="0.35">
      <c r="A206" s="204">
        <v>25813</v>
      </c>
      <c r="I206">
        <v>7.75</v>
      </c>
      <c r="K206">
        <v>6</v>
      </c>
    </row>
    <row r="207" spans="1:11" x14ac:dyDescent="0.35">
      <c r="A207" s="204">
        <v>25820</v>
      </c>
      <c r="I207">
        <v>7.75</v>
      </c>
      <c r="K207">
        <v>6</v>
      </c>
    </row>
    <row r="208" spans="1:11" x14ac:dyDescent="0.35">
      <c r="A208" s="204">
        <v>25827</v>
      </c>
      <c r="I208">
        <v>7.75</v>
      </c>
      <c r="K208">
        <v>6</v>
      </c>
    </row>
    <row r="209" spans="1:11" x14ac:dyDescent="0.35">
      <c r="A209" s="204">
        <v>25834</v>
      </c>
      <c r="I209">
        <v>7.75</v>
      </c>
      <c r="K209">
        <v>6</v>
      </c>
    </row>
    <row r="210" spans="1:11" x14ac:dyDescent="0.35">
      <c r="A210" s="204">
        <v>25841</v>
      </c>
      <c r="I210">
        <v>7.25</v>
      </c>
      <c r="K210">
        <v>6</v>
      </c>
    </row>
    <row r="211" spans="1:11" x14ac:dyDescent="0.35">
      <c r="A211" s="204">
        <v>25848</v>
      </c>
      <c r="I211">
        <v>7.75</v>
      </c>
      <c r="K211">
        <v>6</v>
      </c>
    </row>
    <row r="212" spans="1:11" x14ac:dyDescent="0.35">
      <c r="A212" s="204">
        <v>25855</v>
      </c>
      <c r="I212">
        <v>7.75</v>
      </c>
      <c r="K212">
        <v>6</v>
      </c>
    </row>
    <row r="213" spans="1:11" x14ac:dyDescent="0.35">
      <c r="A213" s="204">
        <v>25862</v>
      </c>
      <c r="I213">
        <v>7.75</v>
      </c>
      <c r="K213">
        <v>6</v>
      </c>
    </row>
    <row r="214" spans="1:11" x14ac:dyDescent="0.35">
      <c r="A214" s="204">
        <v>25869</v>
      </c>
      <c r="I214">
        <v>7.75</v>
      </c>
      <c r="K214">
        <v>6</v>
      </c>
    </row>
    <row r="215" spans="1:11" x14ac:dyDescent="0.35">
      <c r="A215" s="204">
        <v>25876</v>
      </c>
      <c r="I215">
        <v>7.75</v>
      </c>
      <c r="K215">
        <v>5.5</v>
      </c>
    </row>
    <row r="216" spans="1:11" x14ac:dyDescent="0.35">
      <c r="A216" s="204">
        <v>25883</v>
      </c>
      <c r="I216">
        <v>7.25</v>
      </c>
      <c r="K216">
        <v>5.5</v>
      </c>
    </row>
    <row r="217" spans="1:11" x14ac:dyDescent="0.35">
      <c r="A217" s="204">
        <v>25890</v>
      </c>
      <c r="I217">
        <v>7.25</v>
      </c>
      <c r="K217">
        <v>5.5</v>
      </c>
    </row>
    <row r="218" spans="1:11" x14ac:dyDescent="0.35">
      <c r="A218" s="204">
        <v>25897</v>
      </c>
      <c r="I218">
        <v>7.25</v>
      </c>
      <c r="K218">
        <v>5.5</v>
      </c>
    </row>
    <row r="219" spans="1:11" x14ac:dyDescent="0.35">
      <c r="A219" s="204">
        <v>25904</v>
      </c>
      <c r="I219">
        <v>7.25</v>
      </c>
      <c r="K219">
        <v>5.5</v>
      </c>
    </row>
    <row r="220" spans="1:11" x14ac:dyDescent="0.35">
      <c r="A220" s="204">
        <v>25911</v>
      </c>
      <c r="I220">
        <v>7.25</v>
      </c>
      <c r="K220">
        <v>5.5</v>
      </c>
    </row>
    <row r="221" spans="1:11" x14ac:dyDescent="0.35">
      <c r="A221" s="204">
        <v>25918</v>
      </c>
      <c r="I221">
        <v>7.25</v>
      </c>
      <c r="K221">
        <v>5.5</v>
      </c>
    </row>
    <row r="222" spans="1:11" x14ac:dyDescent="0.35">
      <c r="A222" s="204">
        <v>25925</v>
      </c>
      <c r="I222">
        <v>7.25</v>
      </c>
      <c r="K222">
        <v>5.5</v>
      </c>
    </row>
    <row r="223" spans="1:11" x14ac:dyDescent="0.35">
      <c r="A223" s="204">
        <v>25932</v>
      </c>
      <c r="I223">
        <v>7.25</v>
      </c>
      <c r="K223">
        <v>5.5</v>
      </c>
    </row>
    <row r="224" spans="1:11" x14ac:dyDescent="0.35">
      <c r="A224" s="204">
        <v>25939</v>
      </c>
      <c r="I224">
        <v>7.25</v>
      </c>
      <c r="K224">
        <v>5.5</v>
      </c>
    </row>
    <row r="225" spans="1:11" x14ac:dyDescent="0.35">
      <c r="A225" s="204">
        <v>25946</v>
      </c>
      <c r="I225">
        <v>7.25</v>
      </c>
      <c r="K225">
        <v>5.5</v>
      </c>
    </row>
    <row r="226" spans="1:11" x14ac:dyDescent="0.35">
      <c r="A226" s="204">
        <v>25953</v>
      </c>
      <c r="I226">
        <v>7.25</v>
      </c>
      <c r="K226">
        <v>5.5</v>
      </c>
    </row>
    <row r="227" spans="1:11" x14ac:dyDescent="0.35">
      <c r="A227" s="204">
        <v>25960</v>
      </c>
      <c r="I227">
        <v>7.25</v>
      </c>
      <c r="K227">
        <v>5.5</v>
      </c>
    </row>
    <row r="228" spans="1:11" x14ac:dyDescent="0.35">
      <c r="A228" s="204">
        <v>25967</v>
      </c>
      <c r="I228">
        <v>7.25</v>
      </c>
      <c r="K228">
        <v>5</v>
      </c>
    </row>
    <row r="229" spans="1:11" x14ac:dyDescent="0.35">
      <c r="A229" s="204">
        <v>25974</v>
      </c>
      <c r="I229">
        <v>7.25</v>
      </c>
      <c r="K229">
        <v>5</v>
      </c>
    </row>
    <row r="230" spans="1:11" x14ac:dyDescent="0.35">
      <c r="A230" s="204">
        <v>25981</v>
      </c>
      <c r="I230">
        <v>7.25</v>
      </c>
      <c r="K230">
        <v>5</v>
      </c>
    </row>
    <row r="231" spans="1:11" x14ac:dyDescent="0.35">
      <c r="A231" s="204">
        <v>25988</v>
      </c>
      <c r="I231">
        <v>7.25</v>
      </c>
      <c r="K231">
        <v>5</v>
      </c>
    </row>
    <row r="232" spans="1:11" x14ac:dyDescent="0.35">
      <c r="A232" s="204">
        <v>25995</v>
      </c>
      <c r="I232">
        <v>6.75</v>
      </c>
      <c r="K232">
        <v>4.5</v>
      </c>
    </row>
    <row r="233" spans="1:11" x14ac:dyDescent="0.35">
      <c r="A233" s="204">
        <v>26002</v>
      </c>
      <c r="I233">
        <v>6.75</v>
      </c>
      <c r="K233">
        <v>4.5</v>
      </c>
    </row>
    <row r="234" spans="1:11" x14ac:dyDescent="0.35">
      <c r="A234" s="204">
        <v>26009</v>
      </c>
      <c r="I234">
        <v>6.25</v>
      </c>
      <c r="K234">
        <v>4.5</v>
      </c>
    </row>
    <row r="235" spans="1:11" x14ac:dyDescent="0.35">
      <c r="A235" s="204">
        <v>26016</v>
      </c>
      <c r="I235">
        <v>6.25</v>
      </c>
      <c r="K235">
        <v>4.5</v>
      </c>
    </row>
    <row r="236" spans="1:11" x14ac:dyDescent="0.35">
      <c r="A236" s="204">
        <v>26023</v>
      </c>
      <c r="I236">
        <v>6</v>
      </c>
      <c r="K236">
        <v>4.5</v>
      </c>
    </row>
    <row r="237" spans="1:11" x14ac:dyDescent="0.35">
      <c r="A237" s="204">
        <v>26030</v>
      </c>
      <c r="I237">
        <v>6</v>
      </c>
      <c r="K237">
        <v>4.5</v>
      </c>
    </row>
    <row r="238" spans="1:11" x14ac:dyDescent="0.35">
      <c r="A238" s="204">
        <v>26037</v>
      </c>
      <c r="I238">
        <v>6</v>
      </c>
      <c r="K238">
        <v>4.5</v>
      </c>
    </row>
    <row r="239" spans="1:11" x14ac:dyDescent="0.35">
      <c r="A239" s="204">
        <v>26044</v>
      </c>
      <c r="I239">
        <v>6</v>
      </c>
      <c r="K239">
        <v>4.5</v>
      </c>
    </row>
    <row r="240" spans="1:11" x14ac:dyDescent="0.35">
      <c r="A240" s="204">
        <v>26051</v>
      </c>
      <c r="I240">
        <v>6</v>
      </c>
      <c r="K240">
        <v>4.5</v>
      </c>
    </row>
    <row r="241" spans="1:11" x14ac:dyDescent="0.35">
      <c r="A241" s="204">
        <v>26058</v>
      </c>
      <c r="I241">
        <v>6</v>
      </c>
      <c r="K241">
        <v>4.5</v>
      </c>
    </row>
    <row r="242" spans="1:11" x14ac:dyDescent="0.35">
      <c r="A242" s="204">
        <v>26065</v>
      </c>
      <c r="I242">
        <v>6</v>
      </c>
      <c r="K242">
        <v>4.5</v>
      </c>
    </row>
    <row r="243" spans="1:11" x14ac:dyDescent="0.35">
      <c r="A243" s="204">
        <v>26072</v>
      </c>
      <c r="I243">
        <v>6</v>
      </c>
      <c r="K243">
        <v>4.5</v>
      </c>
    </row>
    <row r="244" spans="1:11" x14ac:dyDescent="0.35">
      <c r="A244" s="204">
        <v>26079</v>
      </c>
      <c r="I244">
        <v>6</v>
      </c>
      <c r="K244">
        <v>4.5</v>
      </c>
    </row>
    <row r="245" spans="1:11" x14ac:dyDescent="0.35">
      <c r="A245" s="204">
        <v>26086</v>
      </c>
      <c r="I245">
        <v>6</v>
      </c>
      <c r="K245">
        <v>4.5</v>
      </c>
    </row>
    <row r="246" spans="1:11" x14ac:dyDescent="0.35">
      <c r="A246" s="204">
        <v>26093</v>
      </c>
      <c r="I246">
        <v>6</v>
      </c>
      <c r="K246">
        <v>4.5</v>
      </c>
    </row>
    <row r="247" spans="1:11" x14ac:dyDescent="0.35">
      <c r="A247" s="204">
        <v>26100</v>
      </c>
      <c r="I247">
        <v>6</v>
      </c>
      <c r="K247">
        <v>4.5</v>
      </c>
    </row>
    <row r="248" spans="1:11" x14ac:dyDescent="0.35">
      <c r="A248" s="204">
        <v>26107</v>
      </c>
      <c r="I248">
        <v>6</v>
      </c>
      <c r="K248">
        <v>4.5</v>
      </c>
    </row>
    <row r="249" spans="1:11" x14ac:dyDescent="0.35">
      <c r="A249" s="204">
        <v>26114</v>
      </c>
      <c r="I249">
        <v>6</v>
      </c>
      <c r="K249">
        <v>4.5</v>
      </c>
    </row>
    <row r="250" spans="1:11" x14ac:dyDescent="0.35">
      <c r="A250" s="204">
        <v>26121</v>
      </c>
      <c r="I250">
        <v>6</v>
      </c>
      <c r="K250">
        <v>4.5</v>
      </c>
    </row>
    <row r="251" spans="1:11" x14ac:dyDescent="0.35">
      <c r="A251" s="204">
        <v>26128</v>
      </c>
      <c r="I251">
        <v>6</v>
      </c>
      <c r="K251">
        <v>4.5</v>
      </c>
    </row>
    <row r="252" spans="1:11" x14ac:dyDescent="0.35">
      <c r="A252" s="204">
        <v>26135</v>
      </c>
      <c r="I252">
        <v>6.5</v>
      </c>
      <c r="K252">
        <v>4.5</v>
      </c>
    </row>
    <row r="253" spans="1:11" x14ac:dyDescent="0.35">
      <c r="A253" s="204">
        <v>26142</v>
      </c>
      <c r="I253">
        <v>6.5</v>
      </c>
      <c r="K253">
        <v>4.5</v>
      </c>
    </row>
    <row r="254" spans="1:11" x14ac:dyDescent="0.35">
      <c r="A254" s="204">
        <v>26149</v>
      </c>
      <c r="I254">
        <v>6.5</v>
      </c>
      <c r="K254">
        <v>4.5</v>
      </c>
    </row>
    <row r="255" spans="1:11" x14ac:dyDescent="0.35">
      <c r="A255" s="204">
        <v>26156</v>
      </c>
      <c r="I255">
        <v>6.5</v>
      </c>
      <c r="K255">
        <v>4.5</v>
      </c>
    </row>
    <row r="256" spans="1:11" x14ac:dyDescent="0.35">
      <c r="A256" s="204">
        <v>26163</v>
      </c>
      <c r="I256">
        <v>6.5</v>
      </c>
      <c r="K256">
        <v>4.5</v>
      </c>
    </row>
    <row r="257" spans="1:11" x14ac:dyDescent="0.35">
      <c r="A257" s="204">
        <v>26170</v>
      </c>
      <c r="I257">
        <v>6.5</v>
      </c>
      <c r="K257">
        <v>4.5</v>
      </c>
    </row>
    <row r="258" spans="1:11" x14ac:dyDescent="0.35">
      <c r="A258" s="204">
        <v>26177</v>
      </c>
      <c r="I258">
        <v>6.5</v>
      </c>
      <c r="K258">
        <v>4.5</v>
      </c>
    </row>
    <row r="259" spans="1:11" x14ac:dyDescent="0.35">
      <c r="A259" s="204">
        <v>26184</v>
      </c>
      <c r="I259">
        <v>6.5</v>
      </c>
      <c r="K259">
        <v>4.5</v>
      </c>
    </row>
    <row r="260" spans="1:11" x14ac:dyDescent="0.35">
      <c r="A260" s="204">
        <v>26191</v>
      </c>
      <c r="I260">
        <v>6.5</v>
      </c>
      <c r="K260">
        <v>4.5</v>
      </c>
    </row>
    <row r="261" spans="1:11" x14ac:dyDescent="0.35">
      <c r="A261" s="204">
        <v>26198</v>
      </c>
      <c r="I261">
        <v>6.5</v>
      </c>
      <c r="K261">
        <v>4.5</v>
      </c>
    </row>
    <row r="262" spans="1:11" x14ac:dyDescent="0.35">
      <c r="A262" s="204">
        <v>26205</v>
      </c>
      <c r="I262">
        <v>6.5</v>
      </c>
      <c r="K262">
        <v>4.5</v>
      </c>
    </row>
    <row r="263" spans="1:11" x14ac:dyDescent="0.35">
      <c r="A263" s="204">
        <v>26212</v>
      </c>
      <c r="I263">
        <v>6.5</v>
      </c>
      <c r="K263">
        <v>4.5</v>
      </c>
    </row>
    <row r="264" spans="1:11" x14ac:dyDescent="0.35">
      <c r="A264" s="204">
        <v>26219</v>
      </c>
      <c r="I264">
        <v>6.5</v>
      </c>
      <c r="K264">
        <v>4.5</v>
      </c>
    </row>
    <row r="265" spans="1:11" x14ac:dyDescent="0.35">
      <c r="A265" s="204">
        <v>26226</v>
      </c>
      <c r="I265">
        <v>6.5</v>
      </c>
      <c r="K265">
        <v>4.5</v>
      </c>
    </row>
    <row r="266" spans="1:11" x14ac:dyDescent="0.35">
      <c r="A266" s="204">
        <v>26233</v>
      </c>
      <c r="I266">
        <v>6.75</v>
      </c>
      <c r="K266">
        <v>4.5</v>
      </c>
    </row>
    <row r="267" spans="1:11" x14ac:dyDescent="0.35">
      <c r="A267" s="204">
        <v>26240</v>
      </c>
      <c r="I267">
        <v>6.5</v>
      </c>
      <c r="K267">
        <v>4</v>
      </c>
    </row>
    <row r="268" spans="1:11" x14ac:dyDescent="0.35">
      <c r="A268" s="204">
        <v>26247</v>
      </c>
      <c r="I268">
        <v>6.5</v>
      </c>
      <c r="K268">
        <v>4</v>
      </c>
    </row>
    <row r="269" spans="1:11" x14ac:dyDescent="0.35">
      <c r="A269" s="204">
        <v>26254</v>
      </c>
      <c r="I269">
        <v>6.5</v>
      </c>
      <c r="K269">
        <v>4</v>
      </c>
    </row>
    <row r="270" spans="1:11" x14ac:dyDescent="0.35">
      <c r="A270" s="204">
        <v>26261</v>
      </c>
      <c r="I270">
        <v>6.5</v>
      </c>
      <c r="K270">
        <v>4</v>
      </c>
    </row>
    <row r="271" spans="1:11" x14ac:dyDescent="0.35">
      <c r="A271" s="204">
        <v>26268</v>
      </c>
      <c r="I271">
        <v>6.5</v>
      </c>
      <c r="K271">
        <v>4</v>
      </c>
    </row>
    <row r="272" spans="1:11" x14ac:dyDescent="0.35">
      <c r="A272" s="204">
        <v>26275</v>
      </c>
      <c r="I272">
        <v>6.5</v>
      </c>
      <c r="K272">
        <v>4</v>
      </c>
    </row>
    <row r="273" spans="1:11" x14ac:dyDescent="0.35">
      <c r="A273" s="204">
        <v>26282</v>
      </c>
      <c r="I273">
        <v>6.5</v>
      </c>
      <c r="K273">
        <v>4</v>
      </c>
    </row>
    <row r="274" spans="1:11" x14ac:dyDescent="0.35">
      <c r="A274" s="204">
        <v>26289</v>
      </c>
      <c r="I274">
        <v>6.5</v>
      </c>
      <c r="K274">
        <v>4</v>
      </c>
    </row>
    <row r="275" spans="1:11" x14ac:dyDescent="0.35">
      <c r="A275" s="204">
        <v>26296</v>
      </c>
      <c r="I275">
        <v>6.5</v>
      </c>
      <c r="K275">
        <v>4</v>
      </c>
    </row>
    <row r="276" spans="1:11" x14ac:dyDescent="0.35">
      <c r="A276" s="204">
        <v>26303</v>
      </c>
      <c r="I276">
        <v>6.5</v>
      </c>
      <c r="K276">
        <v>4</v>
      </c>
    </row>
    <row r="277" spans="1:11" x14ac:dyDescent="0.35">
      <c r="A277" s="204">
        <v>26310</v>
      </c>
      <c r="I277">
        <v>6.5</v>
      </c>
      <c r="K277">
        <v>4</v>
      </c>
    </row>
    <row r="278" spans="1:11" x14ac:dyDescent="0.35">
      <c r="A278" s="204">
        <v>26317</v>
      </c>
      <c r="I278">
        <v>6.5</v>
      </c>
      <c r="K278">
        <v>4</v>
      </c>
    </row>
    <row r="279" spans="1:11" x14ac:dyDescent="0.35">
      <c r="A279" s="204">
        <v>26324</v>
      </c>
      <c r="I279">
        <v>6.5</v>
      </c>
      <c r="K279">
        <v>4</v>
      </c>
    </row>
    <row r="280" spans="1:11" x14ac:dyDescent="0.35">
      <c r="A280" s="204">
        <v>26331</v>
      </c>
      <c r="I280">
        <v>6.5</v>
      </c>
      <c r="K280">
        <v>4</v>
      </c>
    </row>
    <row r="281" spans="1:11" x14ac:dyDescent="0.35">
      <c r="A281" s="204">
        <v>26338</v>
      </c>
      <c r="I281">
        <v>6.5</v>
      </c>
      <c r="K281">
        <v>4</v>
      </c>
    </row>
    <row r="282" spans="1:11" x14ac:dyDescent="0.35">
      <c r="A282" s="204">
        <v>26345</v>
      </c>
      <c r="I282">
        <v>6.5</v>
      </c>
      <c r="K282">
        <v>4</v>
      </c>
    </row>
    <row r="283" spans="1:11" x14ac:dyDescent="0.35">
      <c r="A283" s="204">
        <v>26352</v>
      </c>
      <c r="I283">
        <v>6.5</v>
      </c>
      <c r="K283">
        <v>4</v>
      </c>
    </row>
    <row r="284" spans="1:11" x14ac:dyDescent="0.35">
      <c r="A284" s="204">
        <v>26359</v>
      </c>
      <c r="I284">
        <v>6.5</v>
      </c>
      <c r="K284">
        <v>4</v>
      </c>
    </row>
    <row r="285" spans="1:11" x14ac:dyDescent="0.35">
      <c r="A285" s="204">
        <v>26366</v>
      </c>
      <c r="I285">
        <v>6.5</v>
      </c>
      <c r="K285">
        <v>4</v>
      </c>
    </row>
    <row r="286" spans="1:11" x14ac:dyDescent="0.35">
      <c r="A286" s="204">
        <v>26373</v>
      </c>
      <c r="I286">
        <v>6.5</v>
      </c>
      <c r="K286">
        <v>4</v>
      </c>
    </row>
    <row r="287" spans="1:11" x14ac:dyDescent="0.35">
      <c r="A287" s="204">
        <v>26380</v>
      </c>
      <c r="I287">
        <v>6.75</v>
      </c>
      <c r="K287">
        <v>4</v>
      </c>
    </row>
    <row r="288" spans="1:11" x14ac:dyDescent="0.35">
      <c r="A288" s="204">
        <v>26387</v>
      </c>
      <c r="I288">
        <v>6.75</v>
      </c>
      <c r="K288">
        <v>4</v>
      </c>
    </row>
    <row r="289" spans="1:11" x14ac:dyDescent="0.35">
      <c r="A289" s="204">
        <v>26394</v>
      </c>
      <c r="I289">
        <v>6.75</v>
      </c>
      <c r="K289">
        <v>4</v>
      </c>
    </row>
    <row r="290" spans="1:11" x14ac:dyDescent="0.35">
      <c r="A290" s="204">
        <v>26401</v>
      </c>
      <c r="I290">
        <v>6.75</v>
      </c>
      <c r="K290">
        <v>4</v>
      </c>
    </row>
    <row r="291" spans="1:11" x14ac:dyDescent="0.35">
      <c r="A291" s="204">
        <v>26408</v>
      </c>
      <c r="I291">
        <v>6.75</v>
      </c>
      <c r="K291">
        <v>4</v>
      </c>
    </row>
    <row r="292" spans="1:11" x14ac:dyDescent="0.35">
      <c r="A292" s="204">
        <v>26415</v>
      </c>
      <c r="I292">
        <v>6.75</v>
      </c>
      <c r="K292">
        <v>4</v>
      </c>
    </row>
    <row r="293" spans="1:11" x14ac:dyDescent="0.35">
      <c r="A293" s="204">
        <v>26422</v>
      </c>
      <c r="I293">
        <v>6.75</v>
      </c>
      <c r="K293">
        <v>4</v>
      </c>
    </row>
    <row r="294" spans="1:11" x14ac:dyDescent="0.35">
      <c r="A294" s="204">
        <v>26429</v>
      </c>
      <c r="I294">
        <v>7</v>
      </c>
      <c r="K294">
        <v>4</v>
      </c>
    </row>
    <row r="295" spans="1:11" x14ac:dyDescent="0.35">
      <c r="A295" s="204">
        <v>26436</v>
      </c>
      <c r="I295">
        <v>7</v>
      </c>
      <c r="K295">
        <v>4</v>
      </c>
    </row>
    <row r="296" spans="1:11" x14ac:dyDescent="0.35">
      <c r="A296" s="204">
        <v>26443</v>
      </c>
      <c r="I296">
        <v>7</v>
      </c>
      <c r="K296">
        <v>4</v>
      </c>
    </row>
    <row r="297" spans="1:11" x14ac:dyDescent="0.35">
      <c r="A297" s="204">
        <v>26450</v>
      </c>
      <c r="I297">
        <v>7</v>
      </c>
      <c r="K297">
        <v>4</v>
      </c>
    </row>
    <row r="298" spans="1:11" x14ac:dyDescent="0.35">
      <c r="A298" s="204">
        <v>26457</v>
      </c>
      <c r="I298">
        <v>7</v>
      </c>
      <c r="K298">
        <v>4</v>
      </c>
    </row>
    <row r="299" spans="1:11" x14ac:dyDescent="0.35">
      <c r="A299" s="204">
        <v>26464</v>
      </c>
      <c r="I299">
        <v>7</v>
      </c>
      <c r="K299">
        <v>4</v>
      </c>
    </row>
    <row r="300" spans="1:11" x14ac:dyDescent="0.35">
      <c r="A300" s="204">
        <v>26471</v>
      </c>
      <c r="I300">
        <v>7</v>
      </c>
      <c r="K300">
        <v>4</v>
      </c>
    </row>
    <row r="301" spans="1:11" x14ac:dyDescent="0.35">
      <c r="A301" s="204">
        <v>26478</v>
      </c>
      <c r="I301">
        <v>7</v>
      </c>
      <c r="K301">
        <v>4</v>
      </c>
    </row>
    <row r="302" spans="1:11" x14ac:dyDescent="0.35">
      <c r="A302" s="204">
        <v>26485</v>
      </c>
      <c r="I302">
        <v>7</v>
      </c>
      <c r="K302">
        <v>4</v>
      </c>
    </row>
    <row r="303" spans="1:11" x14ac:dyDescent="0.35">
      <c r="A303" s="204">
        <v>26492</v>
      </c>
      <c r="I303">
        <v>7</v>
      </c>
      <c r="K303">
        <v>4</v>
      </c>
    </row>
    <row r="304" spans="1:11" x14ac:dyDescent="0.35">
      <c r="A304" s="204">
        <v>26499</v>
      </c>
      <c r="I304">
        <v>7</v>
      </c>
      <c r="K304">
        <v>4</v>
      </c>
    </row>
    <row r="305" spans="1:11" x14ac:dyDescent="0.35">
      <c r="A305" s="204">
        <v>26506</v>
      </c>
      <c r="I305">
        <v>7</v>
      </c>
      <c r="K305">
        <v>4</v>
      </c>
    </row>
    <row r="306" spans="1:11" x14ac:dyDescent="0.35">
      <c r="A306" s="204">
        <v>26513</v>
      </c>
      <c r="I306">
        <v>7</v>
      </c>
      <c r="K306">
        <v>4</v>
      </c>
    </row>
    <row r="307" spans="1:11" x14ac:dyDescent="0.35">
      <c r="A307" s="204">
        <v>26520</v>
      </c>
      <c r="I307">
        <v>7</v>
      </c>
      <c r="K307">
        <v>4</v>
      </c>
    </row>
    <row r="308" spans="1:11" x14ac:dyDescent="0.35">
      <c r="A308" s="204">
        <v>26527</v>
      </c>
      <c r="I308">
        <v>7</v>
      </c>
      <c r="K308">
        <v>4</v>
      </c>
    </row>
    <row r="309" spans="1:11" x14ac:dyDescent="0.35">
      <c r="A309" s="204">
        <v>26534</v>
      </c>
      <c r="I309">
        <v>7</v>
      </c>
      <c r="K309">
        <v>4</v>
      </c>
    </row>
    <row r="310" spans="1:11" x14ac:dyDescent="0.35">
      <c r="A310" s="204">
        <v>26541</v>
      </c>
      <c r="I310">
        <v>7</v>
      </c>
      <c r="K310">
        <v>4</v>
      </c>
    </row>
    <row r="311" spans="1:11" x14ac:dyDescent="0.35">
      <c r="A311" s="204">
        <v>26548</v>
      </c>
      <c r="I311">
        <v>7</v>
      </c>
      <c r="K311">
        <v>4</v>
      </c>
    </row>
    <row r="312" spans="1:11" x14ac:dyDescent="0.35">
      <c r="A312" s="204">
        <v>26555</v>
      </c>
      <c r="I312">
        <v>7</v>
      </c>
      <c r="K312">
        <v>4</v>
      </c>
    </row>
    <row r="313" spans="1:11" x14ac:dyDescent="0.35">
      <c r="A313" s="204">
        <v>26562</v>
      </c>
      <c r="I313">
        <v>7</v>
      </c>
      <c r="K313">
        <v>4</v>
      </c>
    </row>
    <row r="314" spans="1:11" x14ac:dyDescent="0.35">
      <c r="A314" s="204">
        <v>26569</v>
      </c>
      <c r="I314">
        <v>7</v>
      </c>
      <c r="K314">
        <v>4</v>
      </c>
    </row>
    <row r="315" spans="1:11" x14ac:dyDescent="0.35">
      <c r="A315" s="204">
        <v>26576</v>
      </c>
      <c r="I315">
        <v>7</v>
      </c>
      <c r="K315">
        <v>4</v>
      </c>
    </row>
    <row r="316" spans="1:11" x14ac:dyDescent="0.35">
      <c r="A316" s="204">
        <v>26583</v>
      </c>
      <c r="I316">
        <v>7</v>
      </c>
      <c r="K316">
        <v>4</v>
      </c>
    </row>
    <row r="317" spans="1:11" x14ac:dyDescent="0.35">
      <c r="A317" s="204">
        <v>26590</v>
      </c>
      <c r="I317">
        <v>7</v>
      </c>
      <c r="K317">
        <v>4</v>
      </c>
    </row>
    <row r="318" spans="1:11" x14ac:dyDescent="0.35">
      <c r="A318" s="204">
        <v>26597</v>
      </c>
      <c r="I318">
        <v>7</v>
      </c>
      <c r="K318">
        <v>4</v>
      </c>
    </row>
    <row r="319" spans="1:11" x14ac:dyDescent="0.35">
      <c r="A319" s="204">
        <v>26604</v>
      </c>
      <c r="I319">
        <v>7</v>
      </c>
      <c r="K319">
        <v>4</v>
      </c>
    </row>
    <row r="320" spans="1:11" x14ac:dyDescent="0.35">
      <c r="A320" s="204">
        <v>26611</v>
      </c>
      <c r="I320">
        <v>7</v>
      </c>
      <c r="K320">
        <v>4</v>
      </c>
    </row>
    <row r="321" spans="1:11" x14ac:dyDescent="0.35">
      <c r="A321" s="204">
        <v>26618</v>
      </c>
      <c r="I321">
        <v>7</v>
      </c>
      <c r="K321">
        <v>4</v>
      </c>
    </row>
    <row r="322" spans="1:11" x14ac:dyDescent="0.35">
      <c r="A322" s="204">
        <v>26625</v>
      </c>
      <c r="I322">
        <v>7</v>
      </c>
      <c r="K322">
        <v>4</v>
      </c>
    </row>
    <row r="323" spans="1:11" x14ac:dyDescent="0.35">
      <c r="A323" s="204">
        <v>26632</v>
      </c>
      <c r="I323">
        <v>7</v>
      </c>
      <c r="K323">
        <v>4</v>
      </c>
    </row>
    <row r="324" spans="1:11" x14ac:dyDescent="0.35">
      <c r="A324" s="204">
        <v>26639</v>
      </c>
      <c r="I324">
        <v>6.75</v>
      </c>
      <c r="K324">
        <v>4</v>
      </c>
    </row>
    <row r="325" spans="1:11" x14ac:dyDescent="0.35">
      <c r="A325" s="204">
        <v>26646</v>
      </c>
      <c r="I325">
        <v>7</v>
      </c>
      <c r="K325">
        <v>4</v>
      </c>
    </row>
    <row r="326" spans="1:11" x14ac:dyDescent="0.35">
      <c r="A326" s="204">
        <v>26653</v>
      </c>
      <c r="I326">
        <v>7</v>
      </c>
      <c r="K326">
        <v>4</v>
      </c>
    </row>
    <row r="327" spans="1:11" x14ac:dyDescent="0.35">
      <c r="A327" s="204">
        <v>26660</v>
      </c>
      <c r="I327">
        <v>7</v>
      </c>
      <c r="K327">
        <v>4</v>
      </c>
    </row>
    <row r="328" spans="1:11" x14ac:dyDescent="0.35">
      <c r="A328" s="204">
        <v>26667</v>
      </c>
      <c r="I328">
        <v>7</v>
      </c>
      <c r="K328">
        <v>4</v>
      </c>
    </row>
    <row r="329" spans="1:11" x14ac:dyDescent="0.35">
      <c r="A329" s="204">
        <v>26674</v>
      </c>
      <c r="I329">
        <v>7</v>
      </c>
      <c r="K329">
        <v>4</v>
      </c>
    </row>
    <row r="330" spans="1:11" x14ac:dyDescent="0.35">
      <c r="A330" s="204">
        <v>26681</v>
      </c>
      <c r="I330">
        <v>7</v>
      </c>
      <c r="K330">
        <v>4</v>
      </c>
    </row>
    <row r="331" spans="1:11" x14ac:dyDescent="0.35">
      <c r="A331" s="204">
        <v>26688</v>
      </c>
      <c r="I331">
        <v>7</v>
      </c>
      <c r="K331">
        <v>4</v>
      </c>
    </row>
    <row r="332" spans="1:11" x14ac:dyDescent="0.35">
      <c r="A332" s="204">
        <v>26695</v>
      </c>
      <c r="I332">
        <v>7</v>
      </c>
      <c r="K332">
        <v>4</v>
      </c>
    </row>
    <row r="333" spans="1:11" x14ac:dyDescent="0.35">
      <c r="A333" s="204">
        <v>26702</v>
      </c>
      <c r="I333">
        <v>7</v>
      </c>
      <c r="K333">
        <v>4</v>
      </c>
    </row>
    <row r="334" spans="1:11" x14ac:dyDescent="0.35">
      <c r="A334" s="204">
        <v>26709</v>
      </c>
      <c r="I334">
        <v>7</v>
      </c>
      <c r="K334">
        <v>4</v>
      </c>
    </row>
    <row r="335" spans="1:11" x14ac:dyDescent="0.35">
      <c r="A335" s="204">
        <v>26716</v>
      </c>
      <c r="I335">
        <v>7</v>
      </c>
      <c r="K335">
        <v>4</v>
      </c>
    </row>
    <row r="336" spans="1:11" x14ac:dyDescent="0.35">
      <c r="A336" s="204">
        <v>26723</v>
      </c>
      <c r="I336">
        <v>7</v>
      </c>
      <c r="K336">
        <v>4</v>
      </c>
    </row>
    <row r="337" spans="1:11" x14ac:dyDescent="0.35">
      <c r="A337" s="204">
        <v>26730</v>
      </c>
      <c r="I337">
        <v>7</v>
      </c>
      <c r="K337">
        <v>4</v>
      </c>
    </row>
    <row r="338" spans="1:11" x14ac:dyDescent="0.35">
      <c r="A338" s="204">
        <v>26737</v>
      </c>
      <c r="I338">
        <v>7</v>
      </c>
      <c r="K338">
        <v>4</v>
      </c>
    </row>
    <row r="339" spans="1:11" x14ac:dyDescent="0.35">
      <c r="A339" s="204">
        <v>26744</v>
      </c>
      <c r="I339">
        <v>7</v>
      </c>
      <c r="K339">
        <v>4</v>
      </c>
    </row>
    <row r="340" spans="1:11" x14ac:dyDescent="0.35">
      <c r="A340" s="204">
        <v>26751</v>
      </c>
      <c r="I340">
        <v>7</v>
      </c>
      <c r="K340">
        <v>4</v>
      </c>
    </row>
    <row r="341" spans="1:11" x14ac:dyDescent="0.35">
      <c r="A341" s="204">
        <v>26758</v>
      </c>
      <c r="I341">
        <v>7</v>
      </c>
      <c r="K341">
        <v>4</v>
      </c>
    </row>
    <row r="342" spans="1:11" x14ac:dyDescent="0.35">
      <c r="A342" s="204">
        <v>26765</v>
      </c>
      <c r="I342">
        <v>7</v>
      </c>
      <c r="K342">
        <v>4.5</v>
      </c>
    </row>
    <row r="343" spans="1:11" x14ac:dyDescent="0.35">
      <c r="A343" s="204">
        <v>26772</v>
      </c>
      <c r="I343">
        <v>7.5</v>
      </c>
      <c r="K343">
        <v>4.5</v>
      </c>
    </row>
    <row r="344" spans="1:11" x14ac:dyDescent="0.35">
      <c r="A344" s="204">
        <v>26779</v>
      </c>
      <c r="I344">
        <v>7.5</v>
      </c>
      <c r="K344">
        <v>4.5</v>
      </c>
    </row>
    <row r="345" spans="1:11" x14ac:dyDescent="0.35">
      <c r="A345" s="204">
        <v>26786</v>
      </c>
      <c r="I345">
        <v>7.5</v>
      </c>
      <c r="K345">
        <v>4.5</v>
      </c>
    </row>
    <row r="346" spans="1:11" x14ac:dyDescent="0.35">
      <c r="A346" s="204">
        <v>26793</v>
      </c>
      <c r="I346">
        <v>7.5</v>
      </c>
      <c r="K346">
        <v>4.5</v>
      </c>
    </row>
    <row r="347" spans="1:11" x14ac:dyDescent="0.35">
      <c r="A347" s="204">
        <v>26800</v>
      </c>
      <c r="I347">
        <v>7.5</v>
      </c>
      <c r="K347">
        <v>5</v>
      </c>
    </row>
    <row r="348" spans="1:11" x14ac:dyDescent="0.35">
      <c r="A348" s="204">
        <v>26807</v>
      </c>
      <c r="I348">
        <v>7.75</v>
      </c>
      <c r="K348">
        <v>5</v>
      </c>
    </row>
    <row r="349" spans="1:11" x14ac:dyDescent="0.35">
      <c r="A349" s="204">
        <v>26814</v>
      </c>
      <c r="I349">
        <v>7.75</v>
      </c>
      <c r="K349">
        <v>5</v>
      </c>
    </row>
    <row r="350" spans="1:11" x14ac:dyDescent="0.35">
      <c r="A350" s="204">
        <v>26821</v>
      </c>
      <c r="I350">
        <v>7.75</v>
      </c>
      <c r="K350">
        <v>5.25</v>
      </c>
    </row>
    <row r="351" spans="1:11" x14ac:dyDescent="0.35">
      <c r="A351" s="204">
        <v>26828</v>
      </c>
      <c r="I351">
        <v>7.75</v>
      </c>
      <c r="K351">
        <v>5.25</v>
      </c>
    </row>
    <row r="352" spans="1:11" x14ac:dyDescent="0.35">
      <c r="A352" s="204">
        <v>26835</v>
      </c>
      <c r="I352">
        <v>8</v>
      </c>
      <c r="K352">
        <v>5.25</v>
      </c>
    </row>
    <row r="353" spans="1:11" x14ac:dyDescent="0.35">
      <c r="A353" s="204">
        <v>26842</v>
      </c>
      <c r="I353">
        <v>8</v>
      </c>
      <c r="K353">
        <v>5.25</v>
      </c>
    </row>
    <row r="354" spans="1:11" x14ac:dyDescent="0.35">
      <c r="A354" s="204">
        <v>26849</v>
      </c>
      <c r="I354">
        <v>8</v>
      </c>
      <c r="K354">
        <v>5.75</v>
      </c>
    </row>
    <row r="355" spans="1:11" x14ac:dyDescent="0.35">
      <c r="A355" s="204">
        <v>26856</v>
      </c>
      <c r="I355">
        <v>8</v>
      </c>
      <c r="K355">
        <v>5.75</v>
      </c>
    </row>
    <row r="356" spans="1:11" x14ac:dyDescent="0.35">
      <c r="A356" s="204">
        <v>26863</v>
      </c>
      <c r="I356">
        <v>8</v>
      </c>
      <c r="K356">
        <v>5.75</v>
      </c>
    </row>
    <row r="357" spans="1:11" x14ac:dyDescent="0.35">
      <c r="A357" s="204">
        <v>26870</v>
      </c>
      <c r="I357">
        <v>8</v>
      </c>
      <c r="K357">
        <v>5.75</v>
      </c>
    </row>
    <row r="358" spans="1:11" x14ac:dyDescent="0.35">
      <c r="A358" s="204">
        <v>26877</v>
      </c>
      <c r="I358">
        <v>8</v>
      </c>
      <c r="K358">
        <v>6.25</v>
      </c>
    </row>
    <row r="359" spans="1:11" x14ac:dyDescent="0.35">
      <c r="A359" s="204">
        <v>26884</v>
      </c>
      <c r="I359">
        <v>8</v>
      </c>
      <c r="K359">
        <v>6.25</v>
      </c>
    </row>
    <row r="360" spans="1:11" x14ac:dyDescent="0.35">
      <c r="A360" s="204">
        <v>26891</v>
      </c>
      <c r="I360">
        <v>8</v>
      </c>
      <c r="K360">
        <v>6.25</v>
      </c>
    </row>
    <row r="361" spans="1:11" x14ac:dyDescent="0.35">
      <c r="A361" s="204">
        <v>26898</v>
      </c>
      <c r="I361">
        <v>8.25</v>
      </c>
      <c r="K361">
        <v>6.25</v>
      </c>
    </row>
    <row r="362" spans="1:11" x14ac:dyDescent="0.35">
      <c r="A362" s="204">
        <v>26905</v>
      </c>
      <c r="I362">
        <v>8.25</v>
      </c>
      <c r="K362">
        <v>6.25</v>
      </c>
    </row>
    <row r="363" spans="1:11" x14ac:dyDescent="0.35">
      <c r="A363" s="204">
        <v>26912</v>
      </c>
      <c r="I363">
        <v>8.25</v>
      </c>
      <c r="K363">
        <v>6.75</v>
      </c>
    </row>
    <row r="364" spans="1:11" x14ac:dyDescent="0.35">
      <c r="A364" s="204">
        <v>26919</v>
      </c>
      <c r="I364">
        <v>8.25</v>
      </c>
      <c r="K364">
        <v>6.75</v>
      </c>
    </row>
    <row r="365" spans="1:11" x14ac:dyDescent="0.35">
      <c r="A365" s="204">
        <v>26926</v>
      </c>
      <c r="I365">
        <v>8.5</v>
      </c>
      <c r="K365">
        <v>6.75</v>
      </c>
    </row>
    <row r="366" spans="1:11" x14ac:dyDescent="0.35">
      <c r="A366" s="204">
        <v>26933</v>
      </c>
      <c r="I366">
        <v>8.5</v>
      </c>
      <c r="K366">
        <v>6.75</v>
      </c>
    </row>
    <row r="367" spans="1:11" x14ac:dyDescent="0.35">
      <c r="A367" s="204">
        <v>26940</v>
      </c>
      <c r="I367">
        <v>8.5</v>
      </c>
      <c r="K367">
        <v>6.75</v>
      </c>
    </row>
    <row r="368" spans="1:11" x14ac:dyDescent="0.35">
      <c r="A368" s="204">
        <v>26947</v>
      </c>
      <c r="I368">
        <v>8.5</v>
      </c>
      <c r="K368">
        <v>6.75</v>
      </c>
    </row>
    <row r="369" spans="1:11" x14ac:dyDescent="0.35">
      <c r="A369" s="204">
        <v>26954</v>
      </c>
      <c r="I369">
        <v>8.5</v>
      </c>
      <c r="K369">
        <v>6.75</v>
      </c>
    </row>
    <row r="370" spans="1:11" x14ac:dyDescent="0.35">
      <c r="A370" s="204">
        <v>26961</v>
      </c>
      <c r="I370">
        <v>8.5</v>
      </c>
      <c r="K370">
        <v>6.75</v>
      </c>
    </row>
    <row r="371" spans="1:11" x14ac:dyDescent="0.35">
      <c r="A371" s="204">
        <v>26968</v>
      </c>
      <c r="I371">
        <v>8.5</v>
      </c>
      <c r="K371">
        <v>6.75</v>
      </c>
    </row>
    <row r="372" spans="1:11" x14ac:dyDescent="0.35">
      <c r="A372" s="204">
        <v>26975</v>
      </c>
      <c r="I372">
        <v>8.5</v>
      </c>
      <c r="K372">
        <v>6.75</v>
      </c>
    </row>
    <row r="373" spans="1:11" x14ac:dyDescent="0.35">
      <c r="A373" s="204">
        <v>26982</v>
      </c>
      <c r="I373">
        <v>8.5</v>
      </c>
      <c r="K373">
        <v>6.75</v>
      </c>
    </row>
    <row r="374" spans="1:11" x14ac:dyDescent="0.35">
      <c r="A374" s="204">
        <v>26989</v>
      </c>
      <c r="I374">
        <v>8.5</v>
      </c>
      <c r="K374">
        <v>6.75</v>
      </c>
    </row>
    <row r="375" spans="1:11" x14ac:dyDescent="0.35">
      <c r="A375" s="204">
        <v>26996</v>
      </c>
      <c r="I375">
        <v>8.5</v>
      </c>
      <c r="K375">
        <v>6.75</v>
      </c>
    </row>
    <row r="376" spans="1:11" x14ac:dyDescent="0.35">
      <c r="A376" s="204">
        <v>27003</v>
      </c>
      <c r="I376">
        <v>8.5</v>
      </c>
      <c r="K376">
        <v>6.75</v>
      </c>
    </row>
    <row r="377" spans="1:11" x14ac:dyDescent="0.35">
      <c r="A377" s="204">
        <v>27010</v>
      </c>
      <c r="I377">
        <v>8.5</v>
      </c>
      <c r="K377">
        <v>6.75</v>
      </c>
    </row>
    <row r="378" spans="1:11" x14ac:dyDescent="0.35">
      <c r="A378" s="204">
        <v>27017</v>
      </c>
      <c r="I378">
        <v>8.5</v>
      </c>
      <c r="K378">
        <v>6.75</v>
      </c>
    </row>
    <row r="379" spans="1:11" x14ac:dyDescent="0.35">
      <c r="A379" s="204">
        <v>27024</v>
      </c>
      <c r="I379">
        <v>8.5</v>
      </c>
      <c r="K379">
        <v>6.75</v>
      </c>
    </row>
    <row r="380" spans="1:11" x14ac:dyDescent="0.35">
      <c r="A380" s="204">
        <v>27031</v>
      </c>
      <c r="I380">
        <v>8.5</v>
      </c>
      <c r="K380">
        <v>7.25</v>
      </c>
    </row>
    <row r="381" spans="1:11" x14ac:dyDescent="0.35">
      <c r="A381" s="204">
        <v>27038</v>
      </c>
      <c r="I381">
        <v>8.5</v>
      </c>
      <c r="K381">
        <v>7.25</v>
      </c>
    </row>
    <row r="382" spans="1:11" x14ac:dyDescent="0.35">
      <c r="A382" s="204">
        <v>27045</v>
      </c>
      <c r="I382">
        <v>8.5</v>
      </c>
      <c r="K382">
        <v>7.25</v>
      </c>
    </row>
    <row r="383" spans="1:11" x14ac:dyDescent="0.35">
      <c r="A383" s="204">
        <v>27052</v>
      </c>
      <c r="I383">
        <v>8.5</v>
      </c>
      <c r="K383">
        <v>7.25</v>
      </c>
    </row>
    <row r="384" spans="1:11" x14ac:dyDescent="0.35">
      <c r="A384" s="204">
        <v>27059</v>
      </c>
      <c r="I384">
        <v>8.5</v>
      </c>
      <c r="K384">
        <v>7.25</v>
      </c>
    </row>
    <row r="385" spans="1:11" x14ac:dyDescent="0.35">
      <c r="A385" s="204">
        <v>27066</v>
      </c>
      <c r="I385">
        <v>8.5</v>
      </c>
      <c r="K385">
        <v>7.25</v>
      </c>
    </row>
    <row r="386" spans="1:11" x14ac:dyDescent="0.35">
      <c r="A386" s="204">
        <v>27073</v>
      </c>
      <c r="I386">
        <v>8.5</v>
      </c>
      <c r="K386">
        <v>7.25</v>
      </c>
    </row>
    <row r="387" spans="1:11" x14ac:dyDescent="0.35">
      <c r="A387" s="204">
        <v>27080</v>
      </c>
      <c r="I387">
        <v>8.5</v>
      </c>
      <c r="K387">
        <v>7.25</v>
      </c>
    </row>
    <row r="388" spans="1:11" x14ac:dyDescent="0.35">
      <c r="A388" s="204">
        <v>27087</v>
      </c>
      <c r="I388">
        <v>8.5</v>
      </c>
      <c r="K388">
        <v>7.25</v>
      </c>
    </row>
    <row r="389" spans="1:11" x14ac:dyDescent="0.35">
      <c r="A389" s="204">
        <v>27094</v>
      </c>
      <c r="I389">
        <v>8.25</v>
      </c>
      <c r="K389">
        <v>7.25</v>
      </c>
    </row>
    <row r="390" spans="1:11" x14ac:dyDescent="0.35">
      <c r="A390" s="204">
        <v>27101</v>
      </c>
      <c r="I390">
        <v>8.25</v>
      </c>
      <c r="K390">
        <v>7.25</v>
      </c>
    </row>
    <row r="391" spans="1:11" x14ac:dyDescent="0.35">
      <c r="A391" s="204">
        <v>27108</v>
      </c>
      <c r="I391">
        <v>8.25</v>
      </c>
      <c r="K391">
        <v>7.25</v>
      </c>
    </row>
    <row r="392" spans="1:11" x14ac:dyDescent="0.35">
      <c r="A392" s="204">
        <v>27115</v>
      </c>
      <c r="I392">
        <v>8.25</v>
      </c>
      <c r="K392">
        <v>7.25</v>
      </c>
    </row>
    <row r="393" spans="1:11" x14ac:dyDescent="0.35">
      <c r="A393" s="204">
        <v>27122</v>
      </c>
      <c r="I393">
        <v>8.25</v>
      </c>
      <c r="K393">
        <v>8.25</v>
      </c>
    </row>
    <row r="394" spans="1:11" x14ac:dyDescent="0.35">
      <c r="A394" s="204">
        <v>27129</v>
      </c>
      <c r="I394">
        <v>8.25</v>
      </c>
      <c r="K394">
        <v>8.25</v>
      </c>
    </row>
    <row r="395" spans="1:11" x14ac:dyDescent="0.35">
      <c r="A395" s="204">
        <v>27136</v>
      </c>
      <c r="I395">
        <v>8.25</v>
      </c>
      <c r="K395">
        <v>8.25</v>
      </c>
    </row>
    <row r="396" spans="1:11" x14ac:dyDescent="0.35">
      <c r="A396" s="204">
        <v>27143</v>
      </c>
      <c r="I396">
        <v>9</v>
      </c>
      <c r="K396">
        <v>8.25</v>
      </c>
    </row>
    <row r="397" spans="1:11" x14ac:dyDescent="0.35">
      <c r="A397" s="204">
        <v>27150</v>
      </c>
      <c r="I397">
        <v>9</v>
      </c>
      <c r="K397">
        <v>8.75</v>
      </c>
    </row>
    <row r="398" spans="1:11" x14ac:dyDescent="0.35">
      <c r="A398" s="204">
        <v>27157</v>
      </c>
      <c r="I398">
        <v>9</v>
      </c>
      <c r="K398">
        <v>8.75</v>
      </c>
    </row>
    <row r="399" spans="1:11" x14ac:dyDescent="0.35">
      <c r="A399" s="204">
        <v>27164</v>
      </c>
      <c r="I399">
        <v>9</v>
      </c>
      <c r="K399">
        <v>8.75</v>
      </c>
    </row>
    <row r="400" spans="1:11" x14ac:dyDescent="0.35">
      <c r="A400" s="204">
        <v>27171</v>
      </c>
      <c r="I400">
        <v>9</v>
      </c>
      <c r="K400">
        <v>8.75</v>
      </c>
    </row>
    <row r="401" spans="1:11" x14ac:dyDescent="0.35">
      <c r="A401" s="204">
        <v>27178</v>
      </c>
      <c r="I401">
        <v>9</v>
      </c>
      <c r="K401">
        <v>8.75</v>
      </c>
    </row>
    <row r="402" spans="1:11" x14ac:dyDescent="0.35">
      <c r="A402" s="204">
        <v>27185</v>
      </c>
      <c r="I402">
        <v>9</v>
      </c>
      <c r="K402">
        <v>8.75</v>
      </c>
    </row>
    <row r="403" spans="1:11" x14ac:dyDescent="0.35">
      <c r="A403" s="204">
        <v>27192</v>
      </c>
      <c r="I403">
        <v>9</v>
      </c>
      <c r="K403">
        <v>8.75</v>
      </c>
    </row>
    <row r="404" spans="1:11" x14ac:dyDescent="0.35">
      <c r="A404" s="204">
        <v>27199</v>
      </c>
      <c r="I404">
        <v>9</v>
      </c>
      <c r="K404">
        <v>8.75</v>
      </c>
    </row>
    <row r="405" spans="1:11" x14ac:dyDescent="0.35">
      <c r="A405" s="204">
        <v>27206</v>
      </c>
      <c r="I405">
        <v>9</v>
      </c>
      <c r="K405">
        <v>8.75</v>
      </c>
    </row>
    <row r="406" spans="1:11" x14ac:dyDescent="0.35">
      <c r="A406" s="204">
        <v>27213</v>
      </c>
      <c r="I406">
        <v>9</v>
      </c>
      <c r="K406">
        <v>8.75</v>
      </c>
    </row>
    <row r="407" spans="1:11" x14ac:dyDescent="0.35">
      <c r="A407" s="204">
        <v>27220</v>
      </c>
      <c r="I407">
        <v>9</v>
      </c>
      <c r="K407">
        <v>8.75</v>
      </c>
    </row>
    <row r="408" spans="1:11" x14ac:dyDescent="0.35">
      <c r="A408" s="204">
        <v>27227</v>
      </c>
      <c r="I408">
        <v>9</v>
      </c>
      <c r="K408">
        <v>8.75</v>
      </c>
    </row>
    <row r="409" spans="1:11" x14ac:dyDescent="0.35">
      <c r="A409" s="204">
        <v>27234</v>
      </c>
      <c r="I409">
        <v>9</v>
      </c>
      <c r="K409">
        <v>8.75</v>
      </c>
    </row>
    <row r="410" spans="1:11" x14ac:dyDescent="0.35">
      <c r="A410" s="204">
        <v>27241</v>
      </c>
      <c r="I410">
        <v>9</v>
      </c>
      <c r="K410">
        <v>8.75</v>
      </c>
    </row>
    <row r="411" spans="1:11" x14ac:dyDescent="0.35">
      <c r="A411" s="204">
        <v>27248</v>
      </c>
      <c r="I411">
        <v>9</v>
      </c>
      <c r="K411">
        <v>9.25</v>
      </c>
    </row>
    <row r="412" spans="1:11" x14ac:dyDescent="0.35">
      <c r="A412" s="204">
        <v>27255</v>
      </c>
      <c r="I412">
        <v>9</v>
      </c>
      <c r="K412">
        <v>9.25</v>
      </c>
    </row>
    <row r="413" spans="1:11" x14ac:dyDescent="0.35">
      <c r="A413" s="204">
        <v>27262</v>
      </c>
      <c r="I413">
        <v>9</v>
      </c>
      <c r="K413">
        <v>9.25</v>
      </c>
    </row>
    <row r="414" spans="1:11" x14ac:dyDescent="0.35">
      <c r="A414" s="204">
        <v>27269</v>
      </c>
      <c r="I414">
        <v>9</v>
      </c>
      <c r="K414">
        <v>9.25</v>
      </c>
    </row>
    <row r="415" spans="1:11" x14ac:dyDescent="0.35">
      <c r="A415" s="204">
        <v>27276</v>
      </c>
      <c r="I415">
        <v>9</v>
      </c>
      <c r="K415">
        <v>9.25</v>
      </c>
    </row>
    <row r="416" spans="1:11" x14ac:dyDescent="0.35">
      <c r="A416" s="204">
        <v>27283</v>
      </c>
      <c r="I416">
        <v>9</v>
      </c>
      <c r="K416">
        <v>9.25</v>
      </c>
    </row>
    <row r="417" spans="1:11" x14ac:dyDescent="0.35">
      <c r="A417" s="204">
        <v>27290</v>
      </c>
      <c r="I417">
        <v>9</v>
      </c>
      <c r="K417">
        <v>9.25</v>
      </c>
    </row>
    <row r="418" spans="1:11" x14ac:dyDescent="0.35">
      <c r="A418" s="204">
        <v>27297</v>
      </c>
      <c r="I418">
        <v>9</v>
      </c>
      <c r="K418">
        <v>9.25</v>
      </c>
    </row>
    <row r="419" spans="1:11" x14ac:dyDescent="0.35">
      <c r="A419" s="204">
        <v>27304</v>
      </c>
      <c r="I419">
        <v>9</v>
      </c>
      <c r="K419">
        <v>9.25</v>
      </c>
    </row>
    <row r="420" spans="1:11" x14ac:dyDescent="0.35">
      <c r="A420" s="204">
        <v>27311</v>
      </c>
      <c r="I420">
        <v>9</v>
      </c>
      <c r="K420">
        <v>9.25</v>
      </c>
    </row>
    <row r="421" spans="1:11" x14ac:dyDescent="0.35">
      <c r="A421" s="204">
        <v>27318</v>
      </c>
      <c r="I421">
        <v>9</v>
      </c>
      <c r="K421">
        <v>9.25</v>
      </c>
    </row>
    <row r="422" spans="1:11" x14ac:dyDescent="0.35">
      <c r="A422" s="204">
        <v>27325</v>
      </c>
      <c r="I422">
        <v>9</v>
      </c>
      <c r="K422">
        <v>9.25</v>
      </c>
    </row>
    <row r="423" spans="1:11" x14ac:dyDescent="0.35">
      <c r="A423" s="204">
        <v>27332</v>
      </c>
      <c r="I423">
        <v>9</v>
      </c>
      <c r="K423">
        <v>9.25</v>
      </c>
    </row>
    <row r="424" spans="1:11" x14ac:dyDescent="0.35">
      <c r="A424" s="204">
        <v>27339</v>
      </c>
      <c r="I424">
        <v>9</v>
      </c>
      <c r="K424">
        <v>9.25</v>
      </c>
    </row>
    <row r="425" spans="1:11" x14ac:dyDescent="0.35">
      <c r="A425" s="204">
        <v>27346</v>
      </c>
      <c r="I425">
        <v>9</v>
      </c>
      <c r="K425">
        <v>9.25</v>
      </c>
    </row>
    <row r="426" spans="1:11" x14ac:dyDescent="0.35">
      <c r="A426" s="204">
        <v>27353</v>
      </c>
      <c r="I426">
        <v>9</v>
      </c>
      <c r="K426">
        <v>9.25</v>
      </c>
    </row>
    <row r="427" spans="1:11" x14ac:dyDescent="0.35">
      <c r="A427" s="204">
        <v>27360</v>
      </c>
      <c r="I427">
        <v>8.75</v>
      </c>
      <c r="K427">
        <v>9.25</v>
      </c>
    </row>
    <row r="428" spans="1:11" x14ac:dyDescent="0.35">
      <c r="A428" s="204">
        <v>27367</v>
      </c>
      <c r="I428">
        <v>8.75</v>
      </c>
      <c r="K428">
        <v>8.75</v>
      </c>
    </row>
    <row r="429" spans="1:11" x14ac:dyDescent="0.35">
      <c r="A429" s="204">
        <v>27374</v>
      </c>
      <c r="I429">
        <v>8.75</v>
      </c>
      <c r="K429">
        <v>8.75</v>
      </c>
    </row>
    <row r="430" spans="1:11" x14ac:dyDescent="0.35">
      <c r="A430" s="204">
        <v>27381</v>
      </c>
      <c r="I430">
        <v>8.75</v>
      </c>
      <c r="K430">
        <v>8.75</v>
      </c>
    </row>
    <row r="431" spans="1:11" x14ac:dyDescent="0.35">
      <c r="A431" s="204">
        <v>27388</v>
      </c>
      <c r="I431">
        <v>8.75</v>
      </c>
      <c r="K431">
        <v>8.75</v>
      </c>
    </row>
    <row r="432" spans="1:11" x14ac:dyDescent="0.35">
      <c r="A432" s="204">
        <v>27395</v>
      </c>
      <c r="B432" s="544">
        <v>11</v>
      </c>
      <c r="E432">
        <v>12</v>
      </c>
      <c r="I432">
        <v>8.75</v>
      </c>
      <c r="K432">
        <v>8.75</v>
      </c>
    </row>
    <row r="433" spans="1:11" x14ac:dyDescent="0.35">
      <c r="A433" s="204">
        <v>27402</v>
      </c>
      <c r="B433" s="544">
        <v>11</v>
      </c>
      <c r="E433">
        <v>12</v>
      </c>
      <c r="I433">
        <v>8.75</v>
      </c>
      <c r="K433">
        <v>8.75</v>
      </c>
    </row>
    <row r="434" spans="1:11" x14ac:dyDescent="0.35">
      <c r="A434" s="204">
        <v>27409</v>
      </c>
      <c r="B434" s="544">
        <v>10.5</v>
      </c>
      <c r="E434">
        <v>12</v>
      </c>
      <c r="I434">
        <v>8.5</v>
      </c>
      <c r="K434">
        <v>8.75</v>
      </c>
    </row>
    <row r="435" spans="1:11" x14ac:dyDescent="0.35">
      <c r="A435" s="204">
        <v>27416</v>
      </c>
      <c r="B435" s="544">
        <v>10.5</v>
      </c>
      <c r="E435">
        <v>12</v>
      </c>
      <c r="I435">
        <v>8</v>
      </c>
      <c r="K435">
        <v>8.75</v>
      </c>
    </row>
    <row r="436" spans="1:11" x14ac:dyDescent="0.35">
      <c r="A436" s="204">
        <v>27423</v>
      </c>
      <c r="B436" s="544">
        <v>10.5</v>
      </c>
      <c r="E436">
        <v>12</v>
      </c>
      <c r="I436">
        <v>7.75</v>
      </c>
      <c r="K436">
        <v>8.75</v>
      </c>
    </row>
    <row r="437" spans="1:11" x14ac:dyDescent="0.35">
      <c r="A437" s="204">
        <v>27430</v>
      </c>
      <c r="B437" s="544">
        <v>9.5</v>
      </c>
      <c r="E437">
        <v>11.5</v>
      </c>
      <c r="I437">
        <v>7.5</v>
      </c>
      <c r="K437">
        <v>7.25</v>
      </c>
    </row>
    <row r="438" spans="1:11" x14ac:dyDescent="0.35">
      <c r="A438" s="204">
        <v>27437</v>
      </c>
      <c r="B438" s="544">
        <v>9.5</v>
      </c>
      <c r="E438">
        <v>10.75</v>
      </c>
      <c r="I438">
        <v>7.5</v>
      </c>
      <c r="K438">
        <v>7.25</v>
      </c>
    </row>
    <row r="439" spans="1:11" x14ac:dyDescent="0.35">
      <c r="A439" s="204">
        <v>27444</v>
      </c>
      <c r="B439" s="544">
        <v>9.5</v>
      </c>
      <c r="E439">
        <v>10.75</v>
      </c>
      <c r="I439">
        <v>7.5</v>
      </c>
      <c r="K439">
        <v>7.25</v>
      </c>
    </row>
    <row r="440" spans="1:11" x14ac:dyDescent="0.35">
      <c r="A440" s="204">
        <v>27451</v>
      </c>
      <c r="B440" s="544">
        <v>9.5</v>
      </c>
      <c r="E440">
        <v>10.75</v>
      </c>
      <c r="I440">
        <v>7.5</v>
      </c>
      <c r="K440">
        <v>7.25</v>
      </c>
    </row>
    <row r="441" spans="1:11" x14ac:dyDescent="0.35">
      <c r="A441" s="204">
        <v>27458</v>
      </c>
      <c r="B441" s="544">
        <v>9</v>
      </c>
      <c r="E441">
        <v>10.75</v>
      </c>
      <c r="I441">
        <v>7.5</v>
      </c>
      <c r="K441">
        <v>6.5</v>
      </c>
    </row>
    <row r="442" spans="1:11" x14ac:dyDescent="0.35">
      <c r="A442" s="204">
        <v>27465</v>
      </c>
      <c r="B442" s="544">
        <v>9</v>
      </c>
      <c r="E442">
        <v>10.75</v>
      </c>
      <c r="I442">
        <v>7.5</v>
      </c>
      <c r="K442">
        <v>6.5</v>
      </c>
    </row>
    <row r="443" spans="1:11" x14ac:dyDescent="0.35">
      <c r="A443" s="204">
        <v>27472</v>
      </c>
      <c r="B443" s="544">
        <v>9</v>
      </c>
      <c r="E443">
        <v>10.5</v>
      </c>
      <c r="I443">
        <v>7.5</v>
      </c>
      <c r="K443">
        <v>6.5</v>
      </c>
    </row>
    <row r="444" spans="1:11" x14ac:dyDescent="0.35">
      <c r="A444" s="204">
        <v>27479</v>
      </c>
      <c r="B444" s="544">
        <v>9</v>
      </c>
      <c r="E444">
        <v>10.5</v>
      </c>
      <c r="I444">
        <v>7.5</v>
      </c>
      <c r="K444">
        <v>6.5</v>
      </c>
    </row>
    <row r="445" spans="1:11" x14ac:dyDescent="0.35">
      <c r="A445" s="204">
        <v>27486</v>
      </c>
      <c r="B445" s="544">
        <v>9</v>
      </c>
      <c r="E445">
        <v>10.5</v>
      </c>
      <c r="I445">
        <v>7.5</v>
      </c>
      <c r="K445">
        <v>6.5</v>
      </c>
    </row>
    <row r="446" spans="1:11" x14ac:dyDescent="0.35">
      <c r="A446" s="204">
        <v>27493</v>
      </c>
      <c r="B446" s="544">
        <v>9</v>
      </c>
      <c r="E446">
        <v>10.5</v>
      </c>
      <c r="I446">
        <v>7.5</v>
      </c>
      <c r="K446">
        <v>6.5</v>
      </c>
    </row>
    <row r="447" spans="1:11" x14ac:dyDescent="0.35">
      <c r="A447" s="204">
        <v>27500</v>
      </c>
      <c r="B447" s="544">
        <v>9</v>
      </c>
      <c r="E447">
        <v>10.5</v>
      </c>
      <c r="I447">
        <v>7.5</v>
      </c>
      <c r="K447">
        <v>6.5</v>
      </c>
    </row>
    <row r="448" spans="1:11" x14ac:dyDescent="0.35">
      <c r="A448" s="204">
        <v>27507</v>
      </c>
      <c r="B448" s="544">
        <v>9</v>
      </c>
      <c r="E448">
        <v>10.75</v>
      </c>
      <c r="I448">
        <v>7.5</v>
      </c>
      <c r="K448">
        <v>6.5</v>
      </c>
    </row>
    <row r="449" spans="1:11" x14ac:dyDescent="0.35">
      <c r="A449" s="204">
        <v>27514</v>
      </c>
      <c r="B449" s="544">
        <v>9</v>
      </c>
      <c r="E449">
        <v>10.75</v>
      </c>
      <c r="I449">
        <v>7.5</v>
      </c>
      <c r="K449">
        <v>6.5</v>
      </c>
    </row>
    <row r="450" spans="1:11" x14ac:dyDescent="0.35">
      <c r="A450" s="204">
        <v>27521</v>
      </c>
      <c r="B450" s="544">
        <v>9</v>
      </c>
      <c r="E450">
        <v>10.75</v>
      </c>
      <c r="I450">
        <v>7.5</v>
      </c>
      <c r="K450">
        <v>6.5</v>
      </c>
    </row>
    <row r="451" spans="1:11" x14ac:dyDescent="0.35">
      <c r="A451" s="204">
        <v>27528</v>
      </c>
      <c r="B451" s="544">
        <v>9</v>
      </c>
      <c r="E451">
        <v>10.75</v>
      </c>
      <c r="I451">
        <v>7.5</v>
      </c>
      <c r="K451">
        <v>6.5</v>
      </c>
    </row>
    <row r="452" spans="1:11" x14ac:dyDescent="0.35">
      <c r="A452" s="204">
        <v>27535</v>
      </c>
      <c r="B452" s="544">
        <v>9</v>
      </c>
      <c r="E452">
        <v>11</v>
      </c>
      <c r="I452">
        <v>7.5</v>
      </c>
      <c r="K452">
        <v>6.5</v>
      </c>
    </row>
    <row r="453" spans="1:11" x14ac:dyDescent="0.35">
      <c r="A453" s="204">
        <v>27542</v>
      </c>
      <c r="B453" s="544">
        <v>9</v>
      </c>
      <c r="E453">
        <v>11</v>
      </c>
      <c r="I453">
        <v>7.5</v>
      </c>
      <c r="K453">
        <v>6.5</v>
      </c>
    </row>
    <row r="454" spans="1:11" x14ac:dyDescent="0.35">
      <c r="A454" s="204">
        <v>27549</v>
      </c>
      <c r="B454" s="544">
        <v>9</v>
      </c>
      <c r="E454">
        <v>11</v>
      </c>
      <c r="I454">
        <v>7.5</v>
      </c>
      <c r="K454">
        <v>6.5</v>
      </c>
    </row>
    <row r="455" spans="1:11" x14ac:dyDescent="0.35">
      <c r="A455" s="204">
        <v>27556</v>
      </c>
      <c r="B455" s="544">
        <v>9</v>
      </c>
      <c r="E455">
        <v>11</v>
      </c>
      <c r="I455">
        <v>7.5</v>
      </c>
      <c r="K455">
        <v>6.5</v>
      </c>
    </row>
    <row r="456" spans="1:11" x14ac:dyDescent="0.35">
      <c r="A456" s="204">
        <v>27563</v>
      </c>
      <c r="B456" s="544">
        <v>9</v>
      </c>
      <c r="E456">
        <v>11</v>
      </c>
      <c r="I456">
        <v>7.5</v>
      </c>
      <c r="K456">
        <v>6.5</v>
      </c>
    </row>
    <row r="457" spans="1:11" x14ac:dyDescent="0.35">
      <c r="A457" s="204">
        <v>27570</v>
      </c>
      <c r="B457" s="544">
        <v>9</v>
      </c>
      <c r="E457">
        <v>11</v>
      </c>
      <c r="I457">
        <v>7.5</v>
      </c>
      <c r="K457">
        <v>6.5</v>
      </c>
    </row>
    <row r="458" spans="1:11" x14ac:dyDescent="0.35">
      <c r="A458" s="204">
        <v>27577</v>
      </c>
      <c r="B458" s="544">
        <v>9</v>
      </c>
      <c r="E458">
        <v>11</v>
      </c>
      <c r="I458">
        <v>7.5</v>
      </c>
      <c r="K458">
        <v>6.5</v>
      </c>
    </row>
    <row r="459" spans="1:11" x14ac:dyDescent="0.35">
      <c r="A459" s="204">
        <v>27584</v>
      </c>
      <c r="B459" s="544">
        <v>9</v>
      </c>
      <c r="E459">
        <v>11</v>
      </c>
      <c r="I459">
        <v>7.5</v>
      </c>
      <c r="K459">
        <v>6.5</v>
      </c>
    </row>
    <row r="460" spans="1:11" x14ac:dyDescent="0.35">
      <c r="A460" s="204">
        <v>27591</v>
      </c>
      <c r="B460" s="544">
        <v>9</v>
      </c>
      <c r="E460">
        <v>11.25</v>
      </c>
      <c r="I460">
        <v>7.5</v>
      </c>
      <c r="K460">
        <v>6.5</v>
      </c>
    </row>
    <row r="461" spans="1:11" x14ac:dyDescent="0.35">
      <c r="A461" s="204">
        <v>27598</v>
      </c>
      <c r="B461" s="544">
        <v>9</v>
      </c>
      <c r="E461">
        <v>11.25</v>
      </c>
      <c r="I461">
        <v>7.5</v>
      </c>
      <c r="K461">
        <v>6.5</v>
      </c>
    </row>
    <row r="462" spans="1:11" x14ac:dyDescent="0.35">
      <c r="A462" s="204">
        <v>27605</v>
      </c>
      <c r="B462" s="544">
        <v>9</v>
      </c>
      <c r="E462">
        <v>11.25</v>
      </c>
      <c r="I462">
        <v>8.5</v>
      </c>
      <c r="K462">
        <v>6.5</v>
      </c>
    </row>
    <row r="463" spans="1:11" x14ac:dyDescent="0.35">
      <c r="A463" s="204">
        <v>27612</v>
      </c>
      <c r="B463" s="544">
        <v>9</v>
      </c>
      <c r="E463">
        <v>11.25</v>
      </c>
      <c r="I463">
        <v>8.5</v>
      </c>
      <c r="K463">
        <v>6.5</v>
      </c>
    </row>
    <row r="464" spans="1:11" x14ac:dyDescent="0.35">
      <c r="A464" s="204">
        <v>27619</v>
      </c>
      <c r="B464" s="544">
        <v>9</v>
      </c>
      <c r="E464">
        <v>11.5</v>
      </c>
      <c r="I464">
        <v>8.5</v>
      </c>
      <c r="K464">
        <v>6.5</v>
      </c>
    </row>
    <row r="465" spans="1:11" x14ac:dyDescent="0.35">
      <c r="A465" s="204">
        <v>27626</v>
      </c>
      <c r="B465" s="544">
        <v>9</v>
      </c>
      <c r="E465">
        <v>11.5</v>
      </c>
      <c r="I465">
        <v>8.5</v>
      </c>
      <c r="K465">
        <v>6.5</v>
      </c>
    </row>
    <row r="466" spans="1:11" x14ac:dyDescent="0.35">
      <c r="A466" s="204">
        <v>27633</v>
      </c>
      <c r="B466" s="544">
        <v>9</v>
      </c>
      <c r="E466">
        <v>11.5</v>
      </c>
      <c r="I466">
        <v>8.5</v>
      </c>
      <c r="K466">
        <v>6.5</v>
      </c>
    </row>
    <row r="467" spans="1:11" x14ac:dyDescent="0.35">
      <c r="A467" s="204">
        <v>27640</v>
      </c>
      <c r="B467" s="544">
        <v>9</v>
      </c>
      <c r="E467">
        <v>11.5</v>
      </c>
      <c r="I467">
        <v>8.5</v>
      </c>
      <c r="K467">
        <v>7.25</v>
      </c>
    </row>
    <row r="468" spans="1:11" x14ac:dyDescent="0.35">
      <c r="A468" s="204">
        <v>27647</v>
      </c>
      <c r="B468" s="544">
        <v>9.75</v>
      </c>
      <c r="E468">
        <v>11.75</v>
      </c>
      <c r="I468">
        <v>9.25</v>
      </c>
      <c r="K468">
        <v>7.25</v>
      </c>
    </row>
    <row r="469" spans="1:11" x14ac:dyDescent="0.35">
      <c r="A469" s="204">
        <v>27654</v>
      </c>
      <c r="B469" s="544">
        <v>9.75</v>
      </c>
      <c r="E469">
        <v>11.75</v>
      </c>
      <c r="I469">
        <v>9.25</v>
      </c>
      <c r="K469">
        <v>7.25</v>
      </c>
    </row>
    <row r="470" spans="1:11" x14ac:dyDescent="0.35">
      <c r="A470" s="204">
        <v>27661</v>
      </c>
      <c r="B470" s="544">
        <v>9.75</v>
      </c>
      <c r="E470">
        <v>11.75</v>
      </c>
      <c r="I470">
        <v>9.25</v>
      </c>
      <c r="K470">
        <v>7.25</v>
      </c>
    </row>
    <row r="471" spans="1:11" x14ac:dyDescent="0.35">
      <c r="A471" s="204">
        <v>27668</v>
      </c>
      <c r="B471" s="544">
        <v>9.75</v>
      </c>
      <c r="E471">
        <v>12</v>
      </c>
      <c r="I471">
        <v>9.25</v>
      </c>
      <c r="K471">
        <v>7.25</v>
      </c>
    </row>
    <row r="472" spans="1:11" x14ac:dyDescent="0.35">
      <c r="A472" s="204">
        <v>27675</v>
      </c>
      <c r="B472" s="544">
        <v>9.75</v>
      </c>
      <c r="E472">
        <v>12</v>
      </c>
      <c r="I472">
        <v>9.25</v>
      </c>
      <c r="K472">
        <v>7.25</v>
      </c>
    </row>
    <row r="473" spans="1:11" x14ac:dyDescent="0.35">
      <c r="A473" s="204">
        <v>27682</v>
      </c>
      <c r="B473" s="544">
        <v>9.75</v>
      </c>
      <c r="E473">
        <v>12</v>
      </c>
      <c r="I473">
        <v>9.25</v>
      </c>
      <c r="K473">
        <v>7.25</v>
      </c>
    </row>
    <row r="474" spans="1:11" x14ac:dyDescent="0.35">
      <c r="A474" s="204">
        <v>27689</v>
      </c>
      <c r="B474" s="544">
        <v>9.75</v>
      </c>
      <c r="E474">
        <v>12</v>
      </c>
      <c r="I474">
        <v>9.25</v>
      </c>
      <c r="K474">
        <v>7.25</v>
      </c>
    </row>
    <row r="475" spans="1:11" x14ac:dyDescent="0.35">
      <c r="A475" s="204">
        <v>27696</v>
      </c>
      <c r="B475" s="544">
        <v>9.75</v>
      </c>
      <c r="E475">
        <v>12</v>
      </c>
      <c r="I475">
        <v>9.25</v>
      </c>
      <c r="K475">
        <v>7.25</v>
      </c>
    </row>
    <row r="476" spans="1:11" x14ac:dyDescent="0.35">
      <c r="A476" s="204">
        <v>27703</v>
      </c>
      <c r="B476" s="544">
        <v>9.75</v>
      </c>
      <c r="E476">
        <v>12</v>
      </c>
      <c r="I476">
        <v>9.25</v>
      </c>
      <c r="K476">
        <v>7.25</v>
      </c>
    </row>
    <row r="477" spans="1:11" x14ac:dyDescent="0.35">
      <c r="A477" s="204">
        <v>27710</v>
      </c>
      <c r="B477" s="544">
        <v>9.75</v>
      </c>
      <c r="E477">
        <v>12</v>
      </c>
      <c r="I477">
        <v>9.25</v>
      </c>
      <c r="K477">
        <v>7.25</v>
      </c>
    </row>
    <row r="478" spans="1:11" x14ac:dyDescent="0.35">
      <c r="A478" s="204">
        <v>27717</v>
      </c>
      <c r="B478" s="544">
        <v>9.75</v>
      </c>
      <c r="E478">
        <v>12</v>
      </c>
      <c r="I478">
        <v>9.25</v>
      </c>
      <c r="K478">
        <v>7.25</v>
      </c>
    </row>
    <row r="479" spans="1:11" x14ac:dyDescent="0.35">
      <c r="A479" s="204">
        <v>27724</v>
      </c>
      <c r="B479" s="544">
        <v>9.75</v>
      </c>
      <c r="E479">
        <v>12</v>
      </c>
      <c r="I479">
        <v>9.25</v>
      </c>
      <c r="K479">
        <v>7.25</v>
      </c>
    </row>
    <row r="480" spans="1:11" x14ac:dyDescent="0.35">
      <c r="A480" s="204">
        <v>27731</v>
      </c>
      <c r="B480" s="544">
        <v>9.75</v>
      </c>
      <c r="E480">
        <v>12</v>
      </c>
      <c r="I480">
        <v>9.25</v>
      </c>
      <c r="K480">
        <v>7.25</v>
      </c>
    </row>
    <row r="481" spans="1:11" x14ac:dyDescent="0.35">
      <c r="A481" s="204">
        <v>27738</v>
      </c>
      <c r="B481" s="544">
        <v>9.75</v>
      </c>
      <c r="E481">
        <v>12</v>
      </c>
      <c r="I481">
        <v>9.25</v>
      </c>
      <c r="K481">
        <v>7.25</v>
      </c>
    </row>
    <row r="482" spans="1:11" x14ac:dyDescent="0.35">
      <c r="A482" s="204">
        <v>27745</v>
      </c>
      <c r="B482" s="544">
        <v>9.75</v>
      </c>
      <c r="E482">
        <v>12</v>
      </c>
      <c r="I482">
        <v>9.25</v>
      </c>
      <c r="K482">
        <v>7.25</v>
      </c>
    </row>
    <row r="483" spans="1:11" x14ac:dyDescent="0.35">
      <c r="A483" s="204">
        <v>27752</v>
      </c>
      <c r="B483" s="544">
        <v>9.75</v>
      </c>
      <c r="E483">
        <v>12</v>
      </c>
      <c r="I483">
        <v>9.25</v>
      </c>
      <c r="K483">
        <v>7.25</v>
      </c>
    </row>
    <row r="484" spans="1:11" x14ac:dyDescent="0.35">
      <c r="A484" s="204">
        <v>27759</v>
      </c>
      <c r="B484" s="544">
        <v>9.75</v>
      </c>
      <c r="E484">
        <v>12</v>
      </c>
      <c r="I484">
        <v>9.25</v>
      </c>
      <c r="K484">
        <v>7.25</v>
      </c>
    </row>
    <row r="485" spans="1:11" x14ac:dyDescent="0.35">
      <c r="A485" s="204">
        <v>27766</v>
      </c>
      <c r="B485" s="544">
        <v>9.75</v>
      </c>
      <c r="E485">
        <v>12</v>
      </c>
      <c r="I485">
        <v>9.25</v>
      </c>
      <c r="K485">
        <v>7.25</v>
      </c>
    </row>
    <row r="486" spans="1:11" x14ac:dyDescent="0.35">
      <c r="A486" s="204">
        <v>27773</v>
      </c>
      <c r="B486" s="544">
        <v>9.75</v>
      </c>
      <c r="E486">
        <v>12</v>
      </c>
      <c r="I486">
        <v>9.25</v>
      </c>
      <c r="K486">
        <v>7.25</v>
      </c>
    </row>
    <row r="487" spans="1:11" x14ac:dyDescent="0.35">
      <c r="A487" s="204">
        <v>27780</v>
      </c>
      <c r="B487" s="544">
        <v>9.75</v>
      </c>
      <c r="E487">
        <v>12</v>
      </c>
      <c r="I487">
        <v>9.25</v>
      </c>
      <c r="K487">
        <v>7.25</v>
      </c>
    </row>
    <row r="488" spans="1:11" x14ac:dyDescent="0.35">
      <c r="A488" s="204">
        <v>27787</v>
      </c>
      <c r="B488" s="544">
        <v>9.75</v>
      </c>
      <c r="E488">
        <v>12</v>
      </c>
      <c r="I488">
        <v>9.25</v>
      </c>
      <c r="K488">
        <v>7.25</v>
      </c>
    </row>
    <row r="489" spans="1:11" x14ac:dyDescent="0.35">
      <c r="A489" s="204">
        <v>27794</v>
      </c>
      <c r="B489" s="544">
        <v>9.75</v>
      </c>
      <c r="E489">
        <v>12</v>
      </c>
      <c r="I489">
        <v>9.25</v>
      </c>
      <c r="K489">
        <v>7.25</v>
      </c>
    </row>
    <row r="490" spans="1:11" x14ac:dyDescent="0.35">
      <c r="A490" s="204">
        <v>27801</v>
      </c>
      <c r="B490" s="544">
        <v>9.75</v>
      </c>
      <c r="E490">
        <v>11.75</v>
      </c>
      <c r="I490">
        <v>9.25</v>
      </c>
      <c r="K490">
        <v>7.25</v>
      </c>
    </row>
    <row r="491" spans="1:11" x14ac:dyDescent="0.35">
      <c r="A491" s="204">
        <v>27808</v>
      </c>
      <c r="B491" s="544">
        <v>9.75</v>
      </c>
      <c r="E491">
        <v>11.75</v>
      </c>
      <c r="I491">
        <v>9.25</v>
      </c>
      <c r="K491">
        <v>7.25</v>
      </c>
    </row>
    <row r="492" spans="1:11" x14ac:dyDescent="0.35">
      <c r="A492" s="204">
        <v>27815</v>
      </c>
      <c r="B492" s="544">
        <v>9.75</v>
      </c>
      <c r="E492">
        <v>11.75</v>
      </c>
      <c r="I492">
        <v>9.25</v>
      </c>
      <c r="K492">
        <v>7.25</v>
      </c>
    </row>
    <row r="493" spans="1:11" x14ac:dyDescent="0.35">
      <c r="A493" s="204">
        <v>27822</v>
      </c>
      <c r="B493" s="544">
        <v>9.75</v>
      </c>
      <c r="E493">
        <v>11.75</v>
      </c>
      <c r="I493">
        <v>9.25</v>
      </c>
      <c r="K493">
        <v>8</v>
      </c>
    </row>
    <row r="494" spans="1:11" x14ac:dyDescent="0.35">
      <c r="A494" s="204">
        <v>27829</v>
      </c>
      <c r="B494" s="544">
        <v>10.25</v>
      </c>
      <c r="E494">
        <v>11.75</v>
      </c>
      <c r="I494">
        <v>9.5</v>
      </c>
      <c r="K494">
        <v>8</v>
      </c>
    </row>
    <row r="495" spans="1:11" x14ac:dyDescent="0.35">
      <c r="A495" s="204">
        <v>27836</v>
      </c>
      <c r="B495" s="544">
        <v>10.25</v>
      </c>
      <c r="E495">
        <v>11.75</v>
      </c>
      <c r="I495">
        <v>9.5</v>
      </c>
      <c r="K495">
        <v>8</v>
      </c>
    </row>
    <row r="496" spans="1:11" x14ac:dyDescent="0.35">
      <c r="A496" s="204">
        <v>27843</v>
      </c>
      <c r="B496" s="544">
        <v>10.25</v>
      </c>
      <c r="E496">
        <v>11.75</v>
      </c>
      <c r="I496">
        <v>9.5</v>
      </c>
      <c r="K496">
        <v>8</v>
      </c>
    </row>
    <row r="497" spans="1:11" x14ac:dyDescent="0.35">
      <c r="A497" s="204">
        <v>27850</v>
      </c>
      <c r="B497" s="544">
        <v>10.25</v>
      </c>
      <c r="E497">
        <v>11.75</v>
      </c>
      <c r="I497">
        <v>9.5</v>
      </c>
      <c r="K497">
        <v>8</v>
      </c>
    </row>
    <row r="498" spans="1:11" x14ac:dyDescent="0.35">
      <c r="A498" s="204">
        <v>27857</v>
      </c>
      <c r="B498" s="544">
        <v>10.25</v>
      </c>
      <c r="E498">
        <v>12</v>
      </c>
      <c r="I498">
        <v>9.5</v>
      </c>
      <c r="K498">
        <v>8</v>
      </c>
    </row>
    <row r="499" spans="1:11" x14ac:dyDescent="0.35">
      <c r="A499" s="204">
        <v>27864</v>
      </c>
      <c r="B499" s="544">
        <v>10.25</v>
      </c>
      <c r="E499">
        <v>12</v>
      </c>
      <c r="I499">
        <v>9.5</v>
      </c>
      <c r="K499">
        <v>8</v>
      </c>
    </row>
    <row r="500" spans="1:11" x14ac:dyDescent="0.35">
      <c r="A500" s="204">
        <v>27871</v>
      </c>
      <c r="B500" s="544">
        <v>10.25</v>
      </c>
      <c r="E500">
        <v>12</v>
      </c>
      <c r="I500">
        <v>9.5</v>
      </c>
      <c r="K500">
        <v>8</v>
      </c>
    </row>
    <row r="501" spans="1:11" x14ac:dyDescent="0.35">
      <c r="A501" s="204">
        <v>27878</v>
      </c>
      <c r="B501" s="544">
        <v>10.25</v>
      </c>
      <c r="E501">
        <v>12</v>
      </c>
      <c r="I501">
        <v>9.5</v>
      </c>
      <c r="K501">
        <v>8</v>
      </c>
    </row>
    <row r="502" spans="1:11" x14ac:dyDescent="0.35">
      <c r="A502" s="204">
        <v>27885</v>
      </c>
      <c r="B502" s="544">
        <v>10.25</v>
      </c>
      <c r="E502">
        <v>12</v>
      </c>
      <c r="I502">
        <v>9.5</v>
      </c>
      <c r="K502">
        <v>8</v>
      </c>
    </row>
    <row r="503" spans="1:11" x14ac:dyDescent="0.35">
      <c r="A503" s="204">
        <v>27892</v>
      </c>
      <c r="B503" s="544">
        <v>10.25</v>
      </c>
      <c r="E503">
        <v>12</v>
      </c>
      <c r="I503">
        <v>9.5</v>
      </c>
      <c r="K503">
        <v>8</v>
      </c>
    </row>
    <row r="504" spans="1:11" x14ac:dyDescent="0.35">
      <c r="A504" s="204">
        <v>27899</v>
      </c>
      <c r="B504" s="544">
        <v>10.25</v>
      </c>
      <c r="E504">
        <v>12</v>
      </c>
      <c r="I504">
        <v>9.5</v>
      </c>
      <c r="K504">
        <v>8</v>
      </c>
    </row>
    <row r="505" spans="1:11" x14ac:dyDescent="0.35">
      <c r="A505" s="204">
        <v>27906</v>
      </c>
      <c r="B505" s="544">
        <v>10.25</v>
      </c>
      <c r="E505">
        <v>12</v>
      </c>
      <c r="I505">
        <v>9.5</v>
      </c>
      <c r="K505">
        <v>8</v>
      </c>
    </row>
    <row r="506" spans="1:11" x14ac:dyDescent="0.35">
      <c r="A506" s="204">
        <v>27913</v>
      </c>
      <c r="B506" s="544">
        <v>10.25</v>
      </c>
      <c r="E506">
        <v>12</v>
      </c>
      <c r="I506">
        <v>9.5</v>
      </c>
      <c r="K506">
        <v>8</v>
      </c>
    </row>
    <row r="507" spans="1:11" x14ac:dyDescent="0.35">
      <c r="A507" s="204">
        <v>27920</v>
      </c>
      <c r="B507" s="544">
        <v>10.25</v>
      </c>
      <c r="E507">
        <v>12</v>
      </c>
      <c r="I507">
        <v>9.5</v>
      </c>
      <c r="K507">
        <v>8</v>
      </c>
    </row>
    <row r="508" spans="1:11" x14ac:dyDescent="0.35">
      <c r="A508" s="204">
        <v>27927</v>
      </c>
      <c r="B508" s="544">
        <v>10.25</v>
      </c>
      <c r="E508">
        <v>12</v>
      </c>
      <c r="I508">
        <v>9.5</v>
      </c>
      <c r="K508">
        <v>8</v>
      </c>
    </row>
    <row r="509" spans="1:11" x14ac:dyDescent="0.35">
      <c r="A509" s="204">
        <v>27934</v>
      </c>
      <c r="B509" s="544">
        <v>10.25</v>
      </c>
      <c r="E509">
        <v>12</v>
      </c>
      <c r="I509">
        <v>9.5</v>
      </c>
      <c r="K509">
        <v>8</v>
      </c>
    </row>
    <row r="510" spans="1:11" x14ac:dyDescent="0.35">
      <c r="A510" s="204">
        <v>27941</v>
      </c>
      <c r="B510" s="544">
        <v>10.25</v>
      </c>
      <c r="E510">
        <v>12</v>
      </c>
      <c r="I510">
        <v>9.5</v>
      </c>
      <c r="K510">
        <v>8</v>
      </c>
    </row>
    <row r="511" spans="1:11" x14ac:dyDescent="0.35">
      <c r="A511" s="204">
        <v>27948</v>
      </c>
      <c r="B511" s="544">
        <v>10.25</v>
      </c>
      <c r="E511">
        <v>12</v>
      </c>
      <c r="I511">
        <v>9.5</v>
      </c>
      <c r="K511">
        <v>8</v>
      </c>
    </row>
    <row r="512" spans="1:11" x14ac:dyDescent="0.35">
      <c r="A512" s="204">
        <v>27955</v>
      </c>
      <c r="B512" s="544">
        <v>10.25</v>
      </c>
      <c r="E512">
        <v>12</v>
      </c>
      <c r="I512">
        <v>9.5</v>
      </c>
      <c r="K512">
        <v>8</v>
      </c>
    </row>
    <row r="513" spans="1:11" x14ac:dyDescent="0.35">
      <c r="A513" s="204">
        <v>27962</v>
      </c>
      <c r="B513" s="544">
        <v>10.25</v>
      </c>
      <c r="E513">
        <v>12</v>
      </c>
      <c r="I513">
        <v>9.5</v>
      </c>
      <c r="K513">
        <v>8</v>
      </c>
    </row>
    <row r="514" spans="1:11" x14ac:dyDescent="0.35">
      <c r="A514" s="204">
        <v>27969</v>
      </c>
      <c r="B514" s="544">
        <v>10.25</v>
      </c>
      <c r="E514">
        <v>12</v>
      </c>
      <c r="I514">
        <v>9.5</v>
      </c>
      <c r="K514">
        <v>8</v>
      </c>
    </row>
    <row r="515" spans="1:11" x14ac:dyDescent="0.35">
      <c r="A515" s="204">
        <v>27976</v>
      </c>
      <c r="B515" s="544">
        <v>10.25</v>
      </c>
      <c r="E515">
        <v>12</v>
      </c>
      <c r="I515">
        <v>9.5</v>
      </c>
      <c r="K515">
        <v>8</v>
      </c>
    </row>
    <row r="516" spans="1:11" x14ac:dyDescent="0.35">
      <c r="A516" s="204">
        <v>27983</v>
      </c>
      <c r="B516" s="544">
        <v>10.25</v>
      </c>
      <c r="E516">
        <v>12</v>
      </c>
      <c r="I516">
        <v>9.5</v>
      </c>
      <c r="K516">
        <v>8</v>
      </c>
    </row>
    <row r="517" spans="1:11" x14ac:dyDescent="0.35">
      <c r="A517" s="204">
        <v>27990</v>
      </c>
      <c r="B517" s="544">
        <v>10.25</v>
      </c>
      <c r="E517">
        <v>12</v>
      </c>
      <c r="I517">
        <v>9.5</v>
      </c>
      <c r="K517">
        <v>8</v>
      </c>
    </row>
    <row r="518" spans="1:11" x14ac:dyDescent="0.35">
      <c r="A518" s="204">
        <v>27997</v>
      </c>
      <c r="B518" s="544">
        <v>10.25</v>
      </c>
      <c r="E518">
        <v>12</v>
      </c>
      <c r="I518">
        <v>9.5</v>
      </c>
      <c r="K518">
        <v>8</v>
      </c>
    </row>
    <row r="519" spans="1:11" x14ac:dyDescent="0.35">
      <c r="A519" s="204">
        <v>28004</v>
      </c>
      <c r="B519" s="544">
        <v>10.25</v>
      </c>
      <c r="E519">
        <v>12</v>
      </c>
      <c r="I519">
        <v>9.5</v>
      </c>
      <c r="K519">
        <v>8</v>
      </c>
    </row>
    <row r="520" spans="1:11" x14ac:dyDescent="0.35">
      <c r="A520" s="204">
        <v>28011</v>
      </c>
      <c r="B520" s="544">
        <v>10.25</v>
      </c>
      <c r="E520">
        <v>12</v>
      </c>
      <c r="I520">
        <v>9.5</v>
      </c>
      <c r="K520">
        <v>8</v>
      </c>
    </row>
    <row r="521" spans="1:11" x14ac:dyDescent="0.35">
      <c r="A521" s="204">
        <v>28018</v>
      </c>
      <c r="B521" s="544">
        <v>10.25</v>
      </c>
      <c r="E521">
        <v>11.75</v>
      </c>
      <c r="I521">
        <v>9.5</v>
      </c>
      <c r="K521">
        <v>8</v>
      </c>
    </row>
    <row r="522" spans="1:11" x14ac:dyDescent="0.35">
      <c r="A522" s="204">
        <v>28025</v>
      </c>
      <c r="B522" s="544">
        <v>10.25</v>
      </c>
      <c r="E522">
        <v>11.75</v>
      </c>
      <c r="I522">
        <v>9.5</v>
      </c>
      <c r="K522">
        <v>8</v>
      </c>
    </row>
    <row r="523" spans="1:11" x14ac:dyDescent="0.35">
      <c r="A523" s="204">
        <v>28032</v>
      </c>
      <c r="B523" s="544">
        <v>10.25</v>
      </c>
      <c r="E523">
        <v>11.75</v>
      </c>
      <c r="I523">
        <v>9.5</v>
      </c>
      <c r="K523">
        <v>8</v>
      </c>
    </row>
    <row r="524" spans="1:11" x14ac:dyDescent="0.35">
      <c r="A524" s="204">
        <v>28039</v>
      </c>
      <c r="B524" s="544">
        <v>10.25</v>
      </c>
      <c r="E524">
        <v>11.75</v>
      </c>
      <c r="I524">
        <v>9.5</v>
      </c>
      <c r="K524">
        <v>8</v>
      </c>
    </row>
    <row r="525" spans="1:11" x14ac:dyDescent="0.35">
      <c r="A525" s="204">
        <v>28046</v>
      </c>
      <c r="B525" s="544">
        <v>10.25</v>
      </c>
      <c r="E525">
        <v>11.75</v>
      </c>
      <c r="I525">
        <v>9.5</v>
      </c>
      <c r="K525">
        <v>8</v>
      </c>
    </row>
    <row r="526" spans="1:11" x14ac:dyDescent="0.35">
      <c r="A526" s="204">
        <v>28053</v>
      </c>
      <c r="B526" s="544">
        <v>10.25</v>
      </c>
      <c r="E526">
        <v>11.75</v>
      </c>
      <c r="I526">
        <v>9.5</v>
      </c>
      <c r="K526">
        <v>8</v>
      </c>
    </row>
    <row r="527" spans="1:11" x14ac:dyDescent="0.35">
      <c r="A527" s="204">
        <v>28060</v>
      </c>
      <c r="B527" s="544">
        <v>10.25</v>
      </c>
      <c r="E527">
        <v>11.75</v>
      </c>
      <c r="I527">
        <v>9.5</v>
      </c>
      <c r="K527">
        <v>8</v>
      </c>
    </row>
    <row r="528" spans="1:11" x14ac:dyDescent="0.35">
      <c r="A528" s="204">
        <v>28067</v>
      </c>
      <c r="B528" s="544">
        <v>10.25</v>
      </c>
      <c r="E528">
        <v>11.75</v>
      </c>
      <c r="I528">
        <v>9.5</v>
      </c>
      <c r="K528">
        <v>8</v>
      </c>
    </row>
    <row r="529" spans="1:11" x14ac:dyDescent="0.35">
      <c r="A529" s="204">
        <v>28074</v>
      </c>
      <c r="B529" s="544">
        <v>10.25</v>
      </c>
      <c r="E529">
        <v>11.75</v>
      </c>
      <c r="I529">
        <v>9.5</v>
      </c>
      <c r="K529">
        <v>8</v>
      </c>
    </row>
    <row r="530" spans="1:11" x14ac:dyDescent="0.35">
      <c r="A530" s="204">
        <v>28081</v>
      </c>
      <c r="B530" s="544">
        <v>10.25</v>
      </c>
      <c r="E530">
        <v>11.75</v>
      </c>
      <c r="I530">
        <v>9.5</v>
      </c>
      <c r="K530">
        <v>8</v>
      </c>
    </row>
    <row r="531" spans="1:11" x14ac:dyDescent="0.35">
      <c r="A531" s="204">
        <v>28088</v>
      </c>
      <c r="B531" s="544">
        <v>9.75</v>
      </c>
      <c r="E531">
        <v>11.25</v>
      </c>
      <c r="I531">
        <v>9</v>
      </c>
      <c r="K531">
        <v>8</v>
      </c>
    </row>
    <row r="532" spans="1:11" x14ac:dyDescent="0.35">
      <c r="A532" s="204">
        <v>28095</v>
      </c>
      <c r="B532" s="544">
        <v>9.75</v>
      </c>
      <c r="E532">
        <v>11.25</v>
      </c>
      <c r="I532">
        <v>9</v>
      </c>
      <c r="K532">
        <v>7.5</v>
      </c>
    </row>
    <row r="533" spans="1:11" x14ac:dyDescent="0.35">
      <c r="A533" s="204">
        <v>28102</v>
      </c>
      <c r="B533" s="544">
        <v>9.75</v>
      </c>
      <c r="E533">
        <v>11.25</v>
      </c>
      <c r="I533">
        <v>9</v>
      </c>
      <c r="K533">
        <v>7.5</v>
      </c>
    </row>
    <row r="534" spans="1:11" x14ac:dyDescent="0.35">
      <c r="A534" s="204">
        <v>28109</v>
      </c>
      <c r="B534" s="544">
        <v>9.75</v>
      </c>
      <c r="E534">
        <v>11.25</v>
      </c>
      <c r="I534">
        <v>9</v>
      </c>
      <c r="K534">
        <v>7.5</v>
      </c>
    </row>
    <row r="535" spans="1:11" x14ac:dyDescent="0.35">
      <c r="A535" s="204">
        <v>28116</v>
      </c>
      <c r="B535" s="544">
        <v>9.75</v>
      </c>
      <c r="E535">
        <v>11.25</v>
      </c>
      <c r="I535">
        <v>9</v>
      </c>
      <c r="K535">
        <v>7.5</v>
      </c>
    </row>
    <row r="536" spans="1:11" x14ac:dyDescent="0.35">
      <c r="A536" s="204">
        <v>28123</v>
      </c>
      <c r="B536" s="544">
        <v>9.25</v>
      </c>
      <c r="E536">
        <v>10.75</v>
      </c>
      <c r="I536">
        <v>8.25</v>
      </c>
      <c r="K536">
        <v>7.5</v>
      </c>
    </row>
    <row r="537" spans="1:11" x14ac:dyDescent="0.35">
      <c r="A537" s="204">
        <v>28130</v>
      </c>
      <c r="B537" s="544">
        <v>9.25</v>
      </c>
      <c r="E537">
        <v>10.75</v>
      </c>
      <c r="I537">
        <v>8.25</v>
      </c>
      <c r="K537">
        <v>6.75</v>
      </c>
    </row>
    <row r="538" spans="1:11" x14ac:dyDescent="0.35">
      <c r="A538" s="204">
        <v>28137</v>
      </c>
      <c r="B538" s="544">
        <v>9.25</v>
      </c>
      <c r="E538">
        <v>10.75</v>
      </c>
      <c r="I538">
        <v>8.25</v>
      </c>
      <c r="K538">
        <v>6.75</v>
      </c>
    </row>
    <row r="539" spans="1:11" x14ac:dyDescent="0.35">
      <c r="A539" s="204">
        <v>28144</v>
      </c>
      <c r="B539" s="544">
        <v>9.25</v>
      </c>
      <c r="E539">
        <v>10.75</v>
      </c>
      <c r="I539">
        <v>8.25</v>
      </c>
      <c r="K539">
        <v>6.75</v>
      </c>
    </row>
    <row r="540" spans="1:11" x14ac:dyDescent="0.35">
      <c r="A540" s="204">
        <v>28151</v>
      </c>
      <c r="B540" s="544">
        <v>9.25</v>
      </c>
      <c r="E540">
        <v>10.75</v>
      </c>
      <c r="I540">
        <v>8.25</v>
      </c>
      <c r="K540">
        <v>6.75</v>
      </c>
    </row>
    <row r="541" spans="1:11" x14ac:dyDescent="0.35">
      <c r="A541" s="204">
        <v>28158</v>
      </c>
      <c r="B541" s="544">
        <v>8.75</v>
      </c>
      <c r="E541">
        <v>10.75</v>
      </c>
      <c r="I541">
        <v>8.25</v>
      </c>
      <c r="K541">
        <v>6.25</v>
      </c>
    </row>
    <row r="542" spans="1:11" x14ac:dyDescent="0.35">
      <c r="A542" s="204">
        <v>28165</v>
      </c>
      <c r="B542" s="544">
        <v>8.75</v>
      </c>
      <c r="E542">
        <v>10.25</v>
      </c>
      <c r="I542">
        <v>7.75</v>
      </c>
      <c r="K542">
        <v>6.25</v>
      </c>
    </row>
    <row r="543" spans="1:11" x14ac:dyDescent="0.35">
      <c r="A543" s="204">
        <v>28172</v>
      </c>
      <c r="B543" s="544">
        <v>8.75</v>
      </c>
      <c r="E543">
        <v>10.25</v>
      </c>
      <c r="I543">
        <v>7.75</v>
      </c>
      <c r="K543">
        <v>6.25</v>
      </c>
    </row>
    <row r="544" spans="1:11" x14ac:dyDescent="0.35">
      <c r="A544" s="204">
        <v>28179</v>
      </c>
      <c r="B544" s="544">
        <v>8.75</v>
      </c>
      <c r="E544">
        <v>10.25</v>
      </c>
      <c r="I544">
        <v>7.75</v>
      </c>
      <c r="K544">
        <v>6.25</v>
      </c>
    </row>
    <row r="545" spans="1:11" x14ac:dyDescent="0.35">
      <c r="A545" s="204">
        <v>28186</v>
      </c>
      <c r="B545" s="544">
        <v>8.75</v>
      </c>
      <c r="E545">
        <v>10.25</v>
      </c>
      <c r="I545">
        <v>7.75</v>
      </c>
      <c r="K545">
        <v>6.25</v>
      </c>
    </row>
    <row r="546" spans="1:11" x14ac:dyDescent="0.35">
      <c r="A546" s="204">
        <v>28193</v>
      </c>
      <c r="B546" s="544">
        <v>8.75</v>
      </c>
      <c r="E546">
        <v>10.25</v>
      </c>
      <c r="I546">
        <v>7.75</v>
      </c>
      <c r="K546">
        <v>6.25</v>
      </c>
    </row>
    <row r="547" spans="1:11" x14ac:dyDescent="0.35">
      <c r="A547" s="204">
        <v>28200</v>
      </c>
      <c r="B547" s="544">
        <v>8.75</v>
      </c>
      <c r="E547">
        <v>10.25</v>
      </c>
      <c r="I547">
        <v>7.75</v>
      </c>
      <c r="K547">
        <v>6.25</v>
      </c>
    </row>
    <row r="548" spans="1:11" x14ac:dyDescent="0.35">
      <c r="A548" s="204">
        <v>28207</v>
      </c>
      <c r="B548" s="544">
        <v>8.75</v>
      </c>
      <c r="E548">
        <v>10.25</v>
      </c>
      <c r="I548">
        <v>7.75</v>
      </c>
      <c r="K548">
        <v>6.25</v>
      </c>
    </row>
    <row r="549" spans="1:11" x14ac:dyDescent="0.35">
      <c r="A549" s="204">
        <v>28214</v>
      </c>
      <c r="B549" s="544">
        <v>8.75</v>
      </c>
      <c r="E549">
        <v>10.25</v>
      </c>
      <c r="I549">
        <v>7.75</v>
      </c>
      <c r="K549">
        <v>6.25</v>
      </c>
    </row>
    <row r="550" spans="1:11" x14ac:dyDescent="0.35">
      <c r="A550" s="204">
        <v>28221</v>
      </c>
      <c r="B550" s="544">
        <v>8.75</v>
      </c>
      <c r="E550">
        <v>10.25</v>
      </c>
      <c r="I550">
        <v>7.75</v>
      </c>
      <c r="K550">
        <v>6.25</v>
      </c>
    </row>
    <row r="551" spans="1:11" x14ac:dyDescent="0.35">
      <c r="A551" s="204">
        <v>28228</v>
      </c>
      <c r="B551" s="544">
        <v>8.75</v>
      </c>
      <c r="E551">
        <v>10.25</v>
      </c>
      <c r="I551">
        <v>7.75</v>
      </c>
      <c r="K551">
        <v>6.25</v>
      </c>
    </row>
    <row r="552" spans="1:11" x14ac:dyDescent="0.35">
      <c r="A552" s="204">
        <v>28235</v>
      </c>
      <c r="B552" s="544">
        <v>8.75</v>
      </c>
      <c r="E552">
        <v>10.25</v>
      </c>
      <c r="I552">
        <v>7.75</v>
      </c>
      <c r="K552">
        <v>6.25</v>
      </c>
    </row>
    <row r="553" spans="1:11" x14ac:dyDescent="0.35">
      <c r="A553" s="204">
        <v>28242</v>
      </c>
      <c r="B553" s="544">
        <v>8.75</v>
      </c>
      <c r="E553">
        <v>10.25</v>
      </c>
      <c r="I553">
        <v>7.75</v>
      </c>
      <c r="K553">
        <v>6.25</v>
      </c>
    </row>
    <row r="554" spans="1:11" x14ac:dyDescent="0.35">
      <c r="A554" s="204">
        <v>28249</v>
      </c>
      <c r="B554" s="544">
        <v>8.75</v>
      </c>
      <c r="E554">
        <v>10.25</v>
      </c>
      <c r="I554">
        <v>7.75</v>
      </c>
      <c r="K554">
        <v>6.25</v>
      </c>
    </row>
    <row r="555" spans="1:11" x14ac:dyDescent="0.35">
      <c r="A555" s="204">
        <v>28256</v>
      </c>
      <c r="B555" s="544">
        <v>8.75</v>
      </c>
      <c r="E555">
        <v>10.25</v>
      </c>
      <c r="I555">
        <v>7.75</v>
      </c>
      <c r="K555">
        <v>6.25</v>
      </c>
    </row>
    <row r="556" spans="1:11" x14ac:dyDescent="0.35">
      <c r="A556" s="204">
        <v>28263</v>
      </c>
      <c r="B556" s="544">
        <v>8.75</v>
      </c>
      <c r="E556">
        <v>10.25</v>
      </c>
      <c r="I556">
        <v>7.75</v>
      </c>
      <c r="K556">
        <v>6.25</v>
      </c>
    </row>
    <row r="557" spans="1:11" x14ac:dyDescent="0.35">
      <c r="A557" s="204">
        <v>28270</v>
      </c>
      <c r="B557" s="544">
        <v>8.75</v>
      </c>
      <c r="E557">
        <v>10.25</v>
      </c>
      <c r="I557">
        <v>7.75</v>
      </c>
      <c r="K557">
        <v>6.25</v>
      </c>
    </row>
    <row r="558" spans="1:11" x14ac:dyDescent="0.35">
      <c r="A558" s="204">
        <v>28277</v>
      </c>
      <c r="B558" s="544">
        <v>8.25</v>
      </c>
      <c r="E558">
        <v>10.25</v>
      </c>
      <c r="I558">
        <v>7.75</v>
      </c>
      <c r="K558">
        <v>5.75</v>
      </c>
    </row>
    <row r="559" spans="1:11" x14ac:dyDescent="0.35">
      <c r="A559" s="204">
        <v>28284</v>
      </c>
      <c r="B559" s="544">
        <v>8.25</v>
      </c>
      <c r="E559">
        <v>10.25</v>
      </c>
      <c r="I559">
        <v>7.75</v>
      </c>
      <c r="K559">
        <v>5.75</v>
      </c>
    </row>
    <row r="560" spans="1:11" x14ac:dyDescent="0.35">
      <c r="A560" s="204">
        <v>28291</v>
      </c>
      <c r="B560" s="544">
        <v>8.25</v>
      </c>
      <c r="E560">
        <v>10.25</v>
      </c>
      <c r="I560">
        <v>7.75</v>
      </c>
      <c r="K560">
        <v>5.75</v>
      </c>
    </row>
    <row r="561" spans="1:11" x14ac:dyDescent="0.35">
      <c r="A561" s="204">
        <v>28298</v>
      </c>
      <c r="B561" s="544">
        <v>8.25</v>
      </c>
      <c r="E561">
        <v>10.25</v>
      </c>
      <c r="I561">
        <v>7.75</v>
      </c>
      <c r="K561">
        <v>5.75</v>
      </c>
    </row>
    <row r="562" spans="1:11" x14ac:dyDescent="0.35">
      <c r="A562" s="204">
        <v>28305</v>
      </c>
      <c r="B562" s="544">
        <v>8.25</v>
      </c>
      <c r="E562">
        <v>10.25</v>
      </c>
      <c r="I562">
        <v>7.75</v>
      </c>
      <c r="K562">
        <v>5.75</v>
      </c>
    </row>
    <row r="563" spans="1:11" x14ac:dyDescent="0.35">
      <c r="A563" s="204">
        <v>28312</v>
      </c>
      <c r="B563" s="544">
        <v>8.25</v>
      </c>
      <c r="E563">
        <v>10.25</v>
      </c>
      <c r="I563">
        <v>7.75</v>
      </c>
      <c r="K563">
        <v>5.75</v>
      </c>
    </row>
    <row r="564" spans="1:11" x14ac:dyDescent="0.35">
      <c r="A564" s="204">
        <v>28319</v>
      </c>
      <c r="B564" s="544">
        <v>8.25</v>
      </c>
      <c r="E564">
        <v>10.25</v>
      </c>
      <c r="I564">
        <v>7.75</v>
      </c>
      <c r="K564">
        <v>5.75</v>
      </c>
    </row>
    <row r="565" spans="1:11" x14ac:dyDescent="0.35">
      <c r="A565" s="204">
        <v>28326</v>
      </c>
      <c r="B565" s="544">
        <v>8.25</v>
      </c>
      <c r="E565">
        <v>10.25</v>
      </c>
      <c r="I565">
        <v>7.75</v>
      </c>
      <c r="K565">
        <v>5.75</v>
      </c>
    </row>
    <row r="566" spans="1:11" x14ac:dyDescent="0.35">
      <c r="A566" s="204">
        <v>28333</v>
      </c>
      <c r="B566" s="544">
        <v>8.25</v>
      </c>
      <c r="E566">
        <v>10.25</v>
      </c>
      <c r="I566">
        <v>7.75</v>
      </c>
      <c r="K566">
        <v>5.75</v>
      </c>
    </row>
    <row r="567" spans="1:11" x14ac:dyDescent="0.35">
      <c r="A567" s="204">
        <v>28340</v>
      </c>
      <c r="B567" s="544">
        <v>8.25</v>
      </c>
      <c r="E567">
        <v>10.25</v>
      </c>
      <c r="I567">
        <v>7.75</v>
      </c>
      <c r="K567">
        <v>5.75</v>
      </c>
    </row>
    <row r="568" spans="1:11" x14ac:dyDescent="0.35">
      <c r="A568" s="204">
        <v>28347</v>
      </c>
      <c r="B568" s="544">
        <v>8.25</v>
      </c>
      <c r="E568">
        <v>10.25</v>
      </c>
      <c r="I568">
        <v>7.75</v>
      </c>
      <c r="K568">
        <v>5.75</v>
      </c>
    </row>
    <row r="569" spans="1:11" x14ac:dyDescent="0.35">
      <c r="A569" s="204">
        <v>28354</v>
      </c>
      <c r="B569" s="544">
        <v>8.25</v>
      </c>
      <c r="E569">
        <v>10.25</v>
      </c>
      <c r="I569">
        <v>7.75</v>
      </c>
      <c r="K569">
        <v>5.75</v>
      </c>
    </row>
    <row r="570" spans="1:11" x14ac:dyDescent="0.35">
      <c r="A570" s="204">
        <v>28361</v>
      </c>
      <c r="B570" s="544">
        <v>8.25</v>
      </c>
      <c r="E570">
        <v>10.25</v>
      </c>
      <c r="I570">
        <v>7.75</v>
      </c>
      <c r="K570">
        <v>5.75</v>
      </c>
    </row>
    <row r="571" spans="1:11" x14ac:dyDescent="0.35">
      <c r="A571" s="204">
        <v>28368</v>
      </c>
      <c r="B571" s="544">
        <v>8.25</v>
      </c>
      <c r="E571">
        <v>10.25</v>
      </c>
      <c r="I571">
        <v>7.75</v>
      </c>
      <c r="K571">
        <v>5.75</v>
      </c>
    </row>
    <row r="572" spans="1:11" x14ac:dyDescent="0.35">
      <c r="A572" s="204">
        <v>28375</v>
      </c>
      <c r="B572" s="544">
        <v>8.25</v>
      </c>
      <c r="E572">
        <v>10.25</v>
      </c>
      <c r="I572">
        <v>7.75</v>
      </c>
      <c r="K572">
        <v>5.75</v>
      </c>
    </row>
    <row r="573" spans="1:11" x14ac:dyDescent="0.35">
      <c r="A573" s="204">
        <v>28382</v>
      </c>
      <c r="B573" s="544">
        <v>8.25</v>
      </c>
      <c r="E573">
        <v>10.25</v>
      </c>
      <c r="I573">
        <v>7.75</v>
      </c>
      <c r="K573">
        <v>5.75</v>
      </c>
    </row>
    <row r="574" spans="1:11" x14ac:dyDescent="0.35">
      <c r="A574" s="204">
        <v>28389</v>
      </c>
      <c r="B574" s="544">
        <v>8.25</v>
      </c>
      <c r="E574">
        <v>10.25</v>
      </c>
      <c r="I574">
        <v>7.75</v>
      </c>
      <c r="K574">
        <v>5.75</v>
      </c>
    </row>
    <row r="575" spans="1:11" x14ac:dyDescent="0.35">
      <c r="A575" s="204">
        <v>28396</v>
      </c>
      <c r="B575" s="544">
        <v>8.25</v>
      </c>
      <c r="E575">
        <v>10.25</v>
      </c>
      <c r="I575">
        <v>7.75</v>
      </c>
      <c r="K575">
        <v>5.75</v>
      </c>
    </row>
    <row r="576" spans="1:11" x14ac:dyDescent="0.35">
      <c r="A576" s="204">
        <v>28403</v>
      </c>
      <c r="B576" s="544">
        <v>8.25</v>
      </c>
      <c r="E576">
        <v>10.25</v>
      </c>
      <c r="I576">
        <v>7.75</v>
      </c>
      <c r="K576">
        <v>5.75</v>
      </c>
    </row>
    <row r="577" spans="1:11" x14ac:dyDescent="0.35">
      <c r="A577" s="204">
        <v>28410</v>
      </c>
      <c r="B577" s="544">
        <v>8.25</v>
      </c>
      <c r="E577">
        <v>10.25</v>
      </c>
      <c r="I577">
        <v>7.75</v>
      </c>
      <c r="K577">
        <v>5.75</v>
      </c>
    </row>
    <row r="578" spans="1:11" x14ac:dyDescent="0.35">
      <c r="A578" s="204">
        <v>28417</v>
      </c>
      <c r="B578" s="544">
        <v>8.25</v>
      </c>
      <c r="E578">
        <v>10.25</v>
      </c>
      <c r="I578">
        <v>7.75</v>
      </c>
      <c r="K578">
        <v>5.75</v>
      </c>
    </row>
    <row r="579" spans="1:11" x14ac:dyDescent="0.35">
      <c r="A579" s="204">
        <v>28424</v>
      </c>
      <c r="B579" s="544">
        <v>8.25</v>
      </c>
      <c r="E579">
        <v>10.25</v>
      </c>
      <c r="I579">
        <v>7.75</v>
      </c>
      <c r="K579">
        <v>5.75</v>
      </c>
    </row>
    <row r="580" spans="1:11" x14ac:dyDescent="0.35">
      <c r="A580" s="204">
        <v>28431</v>
      </c>
      <c r="B580" s="544">
        <v>8.25</v>
      </c>
      <c r="E580">
        <v>10.25</v>
      </c>
      <c r="I580">
        <v>7.75</v>
      </c>
      <c r="K580">
        <v>5.75</v>
      </c>
    </row>
    <row r="581" spans="1:11" x14ac:dyDescent="0.35">
      <c r="A581" s="204">
        <v>28438</v>
      </c>
      <c r="B581" s="544">
        <v>8.25</v>
      </c>
      <c r="E581">
        <v>10.25</v>
      </c>
      <c r="I581">
        <v>7.75</v>
      </c>
      <c r="K581">
        <v>5.75</v>
      </c>
    </row>
    <row r="582" spans="1:11" x14ac:dyDescent="0.35">
      <c r="A582" s="204">
        <v>28445</v>
      </c>
      <c r="B582" s="544">
        <v>8.25</v>
      </c>
      <c r="E582">
        <v>10.25</v>
      </c>
      <c r="I582">
        <v>7.75</v>
      </c>
      <c r="K582">
        <v>5.75</v>
      </c>
    </row>
    <row r="583" spans="1:11" x14ac:dyDescent="0.35">
      <c r="A583" s="204">
        <v>28452</v>
      </c>
      <c r="B583" s="544">
        <v>8.25</v>
      </c>
      <c r="E583">
        <v>10.25</v>
      </c>
      <c r="I583">
        <v>7.75</v>
      </c>
      <c r="K583">
        <v>5.75</v>
      </c>
    </row>
    <row r="584" spans="1:11" x14ac:dyDescent="0.35">
      <c r="A584" s="204">
        <v>28459</v>
      </c>
      <c r="B584" s="544">
        <v>8.25</v>
      </c>
      <c r="E584">
        <v>10.25</v>
      </c>
      <c r="I584">
        <v>7.75</v>
      </c>
      <c r="K584">
        <v>5.75</v>
      </c>
    </row>
    <row r="585" spans="1:11" x14ac:dyDescent="0.35">
      <c r="A585" s="204">
        <v>28466</v>
      </c>
      <c r="B585" s="544">
        <v>8.25</v>
      </c>
      <c r="E585">
        <v>10.25</v>
      </c>
      <c r="I585">
        <v>7.75</v>
      </c>
      <c r="K585">
        <v>5.75</v>
      </c>
    </row>
    <row r="586" spans="1:11" x14ac:dyDescent="0.35">
      <c r="A586" s="204">
        <v>28473</v>
      </c>
      <c r="B586" s="544">
        <v>8.25</v>
      </c>
      <c r="E586">
        <v>10.25</v>
      </c>
      <c r="I586">
        <v>7.75</v>
      </c>
      <c r="K586">
        <v>5.75</v>
      </c>
    </row>
    <row r="587" spans="1:11" x14ac:dyDescent="0.35">
      <c r="A587" s="204">
        <v>28480</v>
      </c>
      <c r="B587" s="544">
        <v>8.25</v>
      </c>
      <c r="E587">
        <v>10.25</v>
      </c>
      <c r="I587">
        <v>7.75</v>
      </c>
      <c r="K587">
        <v>5.75</v>
      </c>
    </row>
    <row r="588" spans="1:11" x14ac:dyDescent="0.35">
      <c r="A588" s="204">
        <v>28487</v>
      </c>
      <c r="B588" s="544">
        <v>8.25</v>
      </c>
      <c r="E588">
        <v>10.25</v>
      </c>
      <c r="I588">
        <v>7.75</v>
      </c>
      <c r="K588">
        <v>5.75</v>
      </c>
    </row>
    <row r="589" spans="1:11" x14ac:dyDescent="0.35">
      <c r="A589" s="204">
        <v>28494</v>
      </c>
      <c r="B589" s="544">
        <v>8.25</v>
      </c>
      <c r="E589">
        <v>10.25</v>
      </c>
      <c r="I589">
        <v>7.75</v>
      </c>
      <c r="K589">
        <v>5.75</v>
      </c>
    </row>
    <row r="590" spans="1:11" x14ac:dyDescent="0.35">
      <c r="A590" s="204">
        <v>28501</v>
      </c>
      <c r="B590" s="544">
        <v>8.25</v>
      </c>
      <c r="E590">
        <v>10.25</v>
      </c>
      <c r="I590">
        <v>7.75</v>
      </c>
      <c r="K590">
        <v>5.75</v>
      </c>
    </row>
    <row r="591" spans="1:11" x14ac:dyDescent="0.35">
      <c r="A591" s="204">
        <v>28508</v>
      </c>
      <c r="B591" s="544">
        <v>8.25</v>
      </c>
      <c r="E591">
        <v>10.25</v>
      </c>
      <c r="I591">
        <v>7.75</v>
      </c>
      <c r="K591">
        <v>5.75</v>
      </c>
    </row>
    <row r="592" spans="1:11" x14ac:dyDescent="0.35">
      <c r="A592" s="204">
        <v>28515</v>
      </c>
      <c r="B592" s="544">
        <v>8.25</v>
      </c>
      <c r="E592">
        <v>10.25</v>
      </c>
      <c r="I592">
        <v>7.75</v>
      </c>
      <c r="K592">
        <v>5.75</v>
      </c>
    </row>
    <row r="593" spans="1:11" x14ac:dyDescent="0.35">
      <c r="A593" s="204">
        <v>28522</v>
      </c>
      <c r="B593" s="544">
        <v>8.25</v>
      </c>
      <c r="E593">
        <v>10.25</v>
      </c>
      <c r="I593">
        <v>7.75</v>
      </c>
      <c r="K593">
        <v>5.75</v>
      </c>
    </row>
    <row r="594" spans="1:11" x14ac:dyDescent="0.35">
      <c r="A594" s="204">
        <v>28529</v>
      </c>
      <c r="B594" s="544">
        <v>8.25</v>
      </c>
      <c r="E594">
        <v>10.25</v>
      </c>
      <c r="I594">
        <v>7.75</v>
      </c>
      <c r="K594">
        <v>5.75</v>
      </c>
    </row>
    <row r="595" spans="1:11" x14ac:dyDescent="0.35">
      <c r="A595" s="204">
        <v>28536</v>
      </c>
      <c r="B595" s="544">
        <v>8.25</v>
      </c>
      <c r="E595">
        <v>10.25</v>
      </c>
      <c r="I595">
        <v>7.75</v>
      </c>
      <c r="K595">
        <v>5.75</v>
      </c>
    </row>
    <row r="596" spans="1:11" x14ac:dyDescent="0.35">
      <c r="A596" s="204">
        <v>28543</v>
      </c>
      <c r="B596" s="544">
        <v>8.25</v>
      </c>
      <c r="E596">
        <v>10.25</v>
      </c>
      <c r="I596">
        <v>7.75</v>
      </c>
      <c r="K596">
        <v>5.75</v>
      </c>
    </row>
    <row r="597" spans="1:11" x14ac:dyDescent="0.35">
      <c r="A597" s="204">
        <v>28550</v>
      </c>
      <c r="B597" s="544">
        <v>8.25</v>
      </c>
      <c r="E597">
        <v>10.25</v>
      </c>
      <c r="I597">
        <v>7.75</v>
      </c>
      <c r="K597">
        <v>5.75</v>
      </c>
    </row>
    <row r="598" spans="1:11" x14ac:dyDescent="0.35">
      <c r="A598" s="204">
        <v>28557</v>
      </c>
      <c r="B598" s="544">
        <v>8.25</v>
      </c>
      <c r="E598">
        <v>10.25</v>
      </c>
      <c r="I598">
        <v>7.75</v>
      </c>
      <c r="K598">
        <v>5.75</v>
      </c>
    </row>
    <row r="599" spans="1:11" x14ac:dyDescent="0.35">
      <c r="A599" s="204">
        <v>28564</v>
      </c>
      <c r="B599" s="544">
        <v>8.75</v>
      </c>
      <c r="E599">
        <v>10.25</v>
      </c>
      <c r="I599">
        <v>8.25</v>
      </c>
      <c r="K599">
        <v>5.75</v>
      </c>
    </row>
    <row r="600" spans="1:11" x14ac:dyDescent="0.35">
      <c r="A600" s="204">
        <v>28571</v>
      </c>
      <c r="B600" s="544">
        <v>8.75</v>
      </c>
      <c r="E600">
        <v>10.25</v>
      </c>
      <c r="I600">
        <v>8.25</v>
      </c>
      <c r="K600">
        <v>5.75</v>
      </c>
    </row>
    <row r="601" spans="1:11" x14ac:dyDescent="0.35">
      <c r="A601" s="204">
        <v>28578</v>
      </c>
      <c r="B601" s="544">
        <v>8.75</v>
      </c>
      <c r="E601">
        <v>10.25</v>
      </c>
      <c r="I601">
        <v>8.25</v>
      </c>
      <c r="K601">
        <v>5.75</v>
      </c>
    </row>
    <row r="602" spans="1:11" x14ac:dyDescent="0.35">
      <c r="A602" s="204">
        <v>28585</v>
      </c>
      <c r="B602" s="544">
        <v>9.25</v>
      </c>
      <c r="E602">
        <v>10.25</v>
      </c>
      <c r="I602">
        <v>8.25</v>
      </c>
      <c r="K602">
        <v>6.75</v>
      </c>
    </row>
    <row r="603" spans="1:11" x14ac:dyDescent="0.35">
      <c r="A603" s="204">
        <v>28592</v>
      </c>
      <c r="B603" s="544">
        <v>9.25</v>
      </c>
      <c r="E603">
        <v>10.25</v>
      </c>
      <c r="I603">
        <v>8.75</v>
      </c>
      <c r="K603">
        <v>6.75</v>
      </c>
    </row>
    <row r="604" spans="1:11" x14ac:dyDescent="0.35">
      <c r="A604" s="204">
        <v>28599</v>
      </c>
      <c r="B604" s="544">
        <v>9.25</v>
      </c>
      <c r="E604">
        <v>10.25</v>
      </c>
      <c r="I604">
        <v>8.75</v>
      </c>
      <c r="K604">
        <v>6.75</v>
      </c>
    </row>
    <row r="605" spans="1:11" x14ac:dyDescent="0.35">
      <c r="A605" s="204">
        <v>28606</v>
      </c>
      <c r="B605" s="544">
        <v>9.25</v>
      </c>
      <c r="E605">
        <v>10.25</v>
      </c>
      <c r="I605">
        <v>8.75</v>
      </c>
      <c r="K605">
        <v>6.75</v>
      </c>
    </row>
    <row r="606" spans="1:11" x14ac:dyDescent="0.35">
      <c r="A606" s="204">
        <v>28613</v>
      </c>
      <c r="B606" s="544">
        <v>9.25</v>
      </c>
      <c r="E606">
        <v>10.25</v>
      </c>
      <c r="I606">
        <v>8.75</v>
      </c>
      <c r="K606">
        <v>6.75</v>
      </c>
    </row>
    <row r="607" spans="1:11" x14ac:dyDescent="0.35">
      <c r="A607" s="204">
        <v>28620</v>
      </c>
      <c r="B607" s="544">
        <v>9.25</v>
      </c>
      <c r="E607">
        <v>10.25</v>
      </c>
      <c r="I607">
        <v>8.75</v>
      </c>
      <c r="K607">
        <v>6.75</v>
      </c>
    </row>
    <row r="608" spans="1:11" x14ac:dyDescent="0.35">
      <c r="A608" s="204">
        <v>28627</v>
      </c>
      <c r="B608" s="544">
        <v>9.25</v>
      </c>
      <c r="E608">
        <v>10.25</v>
      </c>
      <c r="I608">
        <v>8.75</v>
      </c>
      <c r="K608">
        <v>6.75</v>
      </c>
    </row>
    <row r="609" spans="1:11" x14ac:dyDescent="0.35">
      <c r="A609" s="204">
        <v>28634</v>
      </c>
      <c r="B609" s="544">
        <v>9.25</v>
      </c>
      <c r="E609">
        <v>10.25</v>
      </c>
      <c r="I609">
        <v>8.75</v>
      </c>
      <c r="K609">
        <v>6.75</v>
      </c>
    </row>
    <row r="610" spans="1:11" x14ac:dyDescent="0.35">
      <c r="A610" s="204">
        <v>28641</v>
      </c>
      <c r="B610" s="544">
        <v>9.25</v>
      </c>
      <c r="E610">
        <v>10.25</v>
      </c>
      <c r="I610">
        <v>8.75</v>
      </c>
      <c r="K610">
        <v>6.75</v>
      </c>
    </row>
    <row r="611" spans="1:11" x14ac:dyDescent="0.35">
      <c r="A611" s="204">
        <v>28648</v>
      </c>
      <c r="B611" s="544">
        <v>9.25</v>
      </c>
      <c r="E611">
        <v>10.25</v>
      </c>
      <c r="I611">
        <v>8.75</v>
      </c>
      <c r="K611">
        <v>6.75</v>
      </c>
    </row>
    <row r="612" spans="1:11" x14ac:dyDescent="0.35">
      <c r="A612" s="204">
        <v>28655</v>
      </c>
      <c r="B612" s="544">
        <v>9.25</v>
      </c>
      <c r="E612">
        <v>10.25</v>
      </c>
      <c r="I612">
        <v>8.75</v>
      </c>
      <c r="K612">
        <v>6.75</v>
      </c>
    </row>
    <row r="613" spans="1:11" x14ac:dyDescent="0.35">
      <c r="A613" s="204">
        <v>28662</v>
      </c>
      <c r="B613" s="544">
        <v>9.25</v>
      </c>
      <c r="E613">
        <v>10.25</v>
      </c>
      <c r="I613">
        <v>8.75</v>
      </c>
      <c r="K613">
        <v>6.75</v>
      </c>
    </row>
    <row r="614" spans="1:11" x14ac:dyDescent="0.35">
      <c r="A614" s="204">
        <v>28669</v>
      </c>
      <c r="B614" s="544">
        <v>9.25</v>
      </c>
      <c r="E614">
        <v>10.25</v>
      </c>
      <c r="I614">
        <v>8.75</v>
      </c>
      <c r="K614">
        <v>6.75</v>
      </c>
    </row>
    <row r="615" spans="1:11" x14ac:dyDescent="0.35">
      <c r="A615" s="204">
        <v>28676</v>
      </c>
      <c r="B615" s="544">
        <v>9.25</v>
      </c>
      <c r="E615">
        <v>10.25</v>
      </c>
      <c r="I615">
        <v>8.75</v>
      </c>
      <c r="K615">
        <v>6.75</v>
      </c>
    </row>
    <row r="616" spans="1:11" x14ac:dyDescent="0.35">
      <c r="A616" s="204">
        <v>28683</v>
      </c>
      <c r="B616" s="544">
        <v>9.25</v>
      </c>
      <c r="E616">
        <v>10.25</v>
      </c>
      <c r="I616">
        <v>8.75</v>
      </c>
      <c r="K616">
        <v>6.75</v>
      </c>
    </row>
    <row r="617" spans="1:11" x14ac:dyDescent="0.35">
      <c r="A617" s="204">
        <v>28690</v>
      </c>
      <c r="B617" s="544">
        <v>9.25</v>
      </c>
      <c r="E617">
        <v>10.25</v>
      </c>
      <c r="I617">
        <v>8.75</v>
      </c>
      <c r="K617">
        <v>6.75</v>
      </c>
    </row>
    <row r="618" spans="1:11" x14ac:dyDescent="0.35">
      <c r="A618" s="204">
        <v>28697</v>
      </c>
      <c r="B618" s="544">
        <v>9.25</v>
      </c>
      <c r="E618">
        <v>10.25</v>
      </c>
      <c r="I618">
        <v>8.75</v>
      </c>
      <c r="K618">
        <v>6.75</v>
      </c>
    </row>
    <row r="619" spans="1:11" x14ac:dyDescent="0.35">
      <c r="A619" s="204">
        <v>28704</v>
      </c>
      <c r="B619" s="544">
        <v>9.75</v>
      </c>
      <c r="E619">
        <v>10.25</v>
      </c>
      <c r="I619">
        <v>8.75</v>
      </c>
      <c r="K619">
        <v>7.25</v>
      </c>
    </row>
    <row r="620" spans="1:11" x14ac:dyDescent="0.35">
      <c r="A620" s="204">
        <v>28711</v>
      </c>
      <c r="B620" s="544">
        <v>9.75</v>
      </c>
      <c r="E620">
        <v>10.25</v>
      </c>
      <c r="I620">
        <v>8.75</v>
      </c>
      <c r="K620">
        <v>7.25</v>
      </c>
    </row>
    <row r="621" spans="1:11" x14ac:dyDescent="0.35">
      <c r="A621" s="204">
        <v>28718</v>
      </c>
      <c r="B621" s="544">
        <v>9.75</v>
      </c>
      <c r="E621">
        <v>10.25</v>
      </c>
      <c r="I621">
        <v>8.75</v>
      </c>
      <c r="K621">
        <v>7.25</v>
      </c>
    </row>
    <row r="622" spans="1:11" x14ac:dyDescent="0.35">
      <c r="A622" s="204">
        <v>28725</v>
      </c>
      <c r="B622" s="544">
        <v>9.75</v>
      </c>
      <c r="E622">
        <v>10.25</v>
      </c>
      <c r="I622">
        <v>8.75</v>
      </c>
      <c r="K622">
        <v>7.25</v>
      </c>
    </row>
    <row r="623" spans="1:11" x14ac:dyDescent="0.35">
      <c r="A623" s="204">
        <v>28732</v>
      </c>
      <c r="B623" s="544">
        <v>9.75</v>
      </c>
      <c r="E623">
        <v>10.25</v>
      </c>
      <c r="I623">
        <v>8.75</v>
      </c>
      <c r="K623">
        <v>7.25</v>
      </c>
    </row>
    <row r="624" spans="1:11" x14ac:dyDescent="0.35">
      <c r="A624" s="204">
        <v>28739</v>
      </c>
      <c r="B624" s="544">
        <v>9.75</v>
      </c>
      <c r="E624">
        <v>10.25</v>
      </c>
      <c r="I624">
        <v>8.75</v>
      </c>
      <c r="K624">
        <v>7.25</v>
      </c>
    </row>
    <row r="625" spans="1:11" x14ac:dyDescent="0.35">
      <c r="A625" s="204">
        <v>28746</v>
      </c>
      <c r="B625" s="544">
        <v>9.75</v>
      </c>
      <c r="E625">
        <v>10.25</v>
      </c>
      <c r="I625">
        <v>8.75</v>
      </c>
      <c r="K625">
        <v>7.25</v>
      </c>
    </row>
    <row r="626" spans="1:11" x14ac:dyDescent="0.35">
      <c r="A626" s="204">
        <v>28753</v>
      </c>
      <c r="B626" s="544">
        <v>10.25</v>
      </c>
      <c r="E626">
        <v>10.75</v>
      </c>
      <c r="I626">
        <v>9</v>
      </c>
      <c r="K626">
        <v>7.25</v>
      </c>
    </row>
    <row r="627" spans="1:11" x14ac:dyDescent="0.35">
      <c r="A627" s="204">
        <v>28760</v>
      </c>
      <c r="B627" s="544">
        <v>10.25</v>
      </c>
      <c r="E627">
        <v>10.75</v>
      </c>
      <c r="I627">
        <v>9</v>
      </c>
      <c r="K627">
        <v>7.25</v>
      </c>
    </row>
    <row r="628" spans="1:11" x14ac:dyDescent="0.35">
      <c r="A628" s="204">
        <v>28767</v>
      </c>
      <c r="B628" s="544">
        <v>10.25</v>
      </c>
      <c r="E628">
        <v>10.75</v>
      </c>
      <c r="I628">
        <v>9</v>
      </c>
      <c r="K628">
        <v>7.75</v>
      </c>
    </row>
    <row r="629" spans="1:11" x14ac:dyDescent="0.35">
      <c r="A629" s="204">
        <v>28774</v>
      </c>
      <c r="B629" s="544">
        <v>10.25</v>
      </c>
      <c r="E629">
        <v>10.75</v>
      </c>
      <c r="I629">
        <v>9</v>
      </c>
      <c r="K629">
        <v>7.75</v>
      </c>
    </row>
    <row r="630" spans="1:11" x14ac:dyDescent="0.35">
      <c r="A630" s="204">
        <v>28781</v>
      </c>
      <c r="B630" s="544">
        <v>11</v>
      </c>
      <c r="E630">
        <v>10.75</v>
      </c>
      <c r="I630">
        <v>9.5</v>
      </c>
      <c r="K630">
        <v>7.75</v>
      </c>
    </row>
    <row r="631" spans="1:11" x14ac:dyDescent="0.35">
      <c r="A631" s="204">
        <v>28788</v>
      </c>
      <c r="B631" s="544">
        <v>11</v>
      </c>
      <c r="E631">
        <v>11.25</v>
      </c>
      <c r="I631">
        <v>9.5</v>
      </c>
      <c r="K631">
        <v>7.75</v>
      </c>
    </row>
    <row r="632" spans="1:11" x14ac:dyDescent="0.35">
      <c r="A632" s="204">
        <v>28795</v>
      </c>
      <c r="B632" s="544">
        <v>11</v>
      </c>
      <c r="E632">
        <v>11.25</v>
      </c>
      <c r="I632">
        <v>9.5</v>
      </c>
      <c r="K632">
        <v>9</v>
      </c>
    </row>
    <row r="633" spans="1:11" x14ac:dyDescent="0.35">
      <c r="A633" s="204">
        <v>28802</v>
      </c>
      <c r="B633" s="544">
        <v>11.5</v>
      </c>
      <c r="E633">
        <v>11.25</v>
      </c>
      <c r="I633">
        <v>9.75</v>
      </c>
      <c r="K633">
        <v>9</v>
      </c>
    </row>
    <row r="634" spans="1:11" x14ac:dyDescent="0.35">
      <c r="A634" s="204">
        <v>28809</v>
      </c>
      <c r="B634" s="544">
        <v>11.5</v>
      </c>
      <c r="E634">
        <v>11.25</v>
      </c>
      <c r="I634">
        <v>9.75</v>
      </c>
      <c r="K634">
        <v>9</v>
      </c>
    </row>
    <row r="635" spans="1:11" x14ac:dyDescent="0.35">
      <c r="A635" s="204">
        <v>28816</v>
      </c>
      <c r="B635" s="544">
        <v>11.5</v>
      </c>
      <c r="E635">
        <v>11.25</v>
      </c>
      <c r="I635">
        <v>9.75</v>
      </c>
      <c r="K635">
        <v>9</v>
      </c>
    </row>
    <row r="636" spans="1:11" x14ac:dyDescent="0.35">
      <c r="A636" s="204">
        <v>28823</v>
      </c>
      <c r="B636" s="544">
        <v>11.5</v>
      </c>
      <c r="E636">
        <v>11.25</v>
      </c>
      <c r="I636">
        <v>9.75</v>
      </c>
      <c r="K636">
        <v>9</v>
      </c>
    </row>
    <row r="637" spans="1:11" x14ac:dyDescent="0.35">
      <c r="A637" s="204">
        <v>28830</v>
      </c>
      <c r="B637" s="544">
        <v>11.5</v>
      </c>
      <c r="E637">
        <v>11.25</v>
      </c>
      <c r="I637">
        <v>9.75</v>
      </c>
      <c r="K637">
        <v>9</v>
      </c>
    </row>
    <row r="638" spans="1:11" x14ac:dyDescent="0.35">
      <c r="A638" s="204">
        <v>28837</v>
      </c>
      <c r="B638" s="544">
        <v>11.5</v>
      </c>
      <c r="E638">
        <v>11.25</v>
      </c>
      <c r="I638">
        <v>9.75</v>
      </c>
      <c r="K638">
        <v>9</v>
      </c>
    </row>
    <row r="639" spans="1:11" x14ac:dyDescent="0.35">
      <c r="A639" s="204">
        <v>28844</v>
      </c>
      <c r="B639" s="544">
        <v>11.5</v>
      </c>
      <c r="E639">
        <v>11.25</v>
      </c>
      <c r="I639">
        <v>9.75</v>
      </c>
      <c r="K639">
        <v>9</v>
      </c>
    </row>
    <row r="640" spans="1:11" x14ac:dyDescent="0.35">
      <c r="A640" s="204">
        <v>28851</v>
      </c>
      <c r="B640" s="544">
        <v>11.5</v>
      </c>
      <c r="E640">
        <v>11.25</v>
      </c>
      <c r="I640">
        <v>9.75</v>
      </c>
      <c r="K640">
        <v>9</v>
      </c>
    </row>
    <row r="641" spans="1:11" x14ac:dyDescent="0.35">
      <c r="A641" s="204">
        <v>28858</v>
      </c>
      <c r="B641" s="544">
        <v>11.5</v>
      </c>
      <c r="E641">
        <v>11.25</v>
      </c>
      <c r="I641">
        <v>9.75</v>
      </c>
      <c r="K641">
        <v>9.5</v>
      </c>
    </row>
    <row r="642" spans="1:11" x14ac:dyDescent="0.35">
      <c r="A642" s="204">
        <v>28865</v>
      </c>
      <c r="B642" s="544">
        <v>12</v>
      </c>
      <c r="E642">
        <v>11.25</v>
      </c>
      <c r="I642">
        <v>9.75</v>
      </c>
      <c r="K642">
        <v>9.5</v>
      </c>
    </row>
    <row r="643" spans="1:11" x14ac:dyDescent="0.35">
      <c r="A643" s="204">
        <v>28872</v>
      </c>
      <c r="B643" s="544">
        <v>12</v>
      </c>
      <c r="E643">
        <v>11.25</v>
      </c>
      <c r="I643">
        <v>9.75</v>
      </c>
      <c r="K643">
        <v>9.5</v>
      </c>
    </row>
    <row r="644" spans="1:11" x14ac:dyDescent="0.35">
      <c r="A644" s="204">
        <v>28879</v>
      </c>
      <c r="B644" s="544">
        <v>12</v>
      </c>
      <c r="E644">
        <v>11.25</v>
      </c>
      <c r="I644">
        <v>9.75</v>
      </c>
      <c r="K644">
        <v>9.5</v>
      </c>
    </row>
    <row r="645" spans="1:11" x14ac:dyDescent="0.35">
      <c r="A645" s="204">
        <v>28886</v>
      </c>
      <c r="B645" s="544">
        <v>12</v>
      </c>
      <c r="E645">
        <v>11.25</v>
      </c>
      <c r="I645">
        <v>9.75</v>
      </c>
      <c r="K645">
        <v>9.5</v>
      </c>
    </row>
    <row r="646" spans="1:11" x14ac:dyDescent="0.35">
      <c r="A646" s="204">
        <v>28893</v>
      </c>
      <c r="B646" s="544">
        <v>12</v>
      </c>
      <c r="E646">
        <v>11.25</v>
      </c>
      <c r="I646">
        <v>9.75</v>
      </c>
      <c r="K646">
        <v>9.5</v>
      </c>
    </row>
    <row r="647" spans="1:11" x14ac:dyDescent="0.35">
      <c r="A647" s="204">
        <v>28900</v>
      </c>
      <c r="B647" s="544">
        <v>12</v>
      </c>
      <c r="E647">
        <v>11.25</v>
      </c>
      <c r="I647">
        <v>9.75</v>
      </c>
      <c r="K647">
        <v>9.5</v>
      </c>
    </row>
    <row r="648" spans="1:11" x14ac:dyDescent="0.35">
      <c r="A648" s="204">
        <v>28907</v>
      </c>
      <c r="B648" s="544">
        <v>12</v>
      </c>
      <c r="E648">
        <v>11.25</v>
      </c>
      <c r="I648">
        <v>9.75</v>
      </c>
      <c r="K648">
        <v>9.5</v>
      </c>
    </row>
    <row r="649" spans="1:11" x14ac:dyDescent="0.35">
      <c r="A649" s="204">
        <v>28914</v>
      </c>
      <c r="B649" s="544">
        <v>12</v>
      </c>
      <c r="E649">
        <v>11.25</v>
      </c>
      <c r="I649">
        <v>9.75</v>
      </c>
      <c r="K649">
        <v>9.5</v>
      </c>
    </row>
    <row r="650" spans="1:11" x14ac:dyDescent="0.35">
      <c r="A650" s="204">
        <v>28921</v>
      </c>
      <c r="B650" s="544">
        <v>12</v>
      </c>
      <c r="E650">
        <v>11.25</v>
      </c>
      <c r="I650">
        <v>9.75</v>
      </c>
      <c r="K650">
        <v>9.5</v>
      </c>
    </row>
    <row r="651" spans="1:11" x14ac:dyDescent="0.35">
      <c r="A651" s="204">
        <v>28928</v>
      </c>
      <c r="B651" s="544">
        <v>12</v>
      </c>
      <c r="E651">
        <v>11.25</v>
      </c>
      <c r="I651">
        <v>9.75</v>
      </c>
      <c r="K651">
        <v>9.5</v>
      </c>
    </row>
    <row r="652" spans="1:11" x14ac:dyDescent="0.35">
      <c r="A652" s="204">
        <v>28935</v>
      </c>
      <c r="B652" s="544">
        <v>12</v>
      </c>
      <c r="E652">
        <v>11</v>
      </c>
      <c r="I652">
        <v>9.75</v>
      </c>
      <c r="K652">
        <v>9.5</v>
      </c>
    </row>
    <row r="653" spans="1:11" x14ac:dyDescent="0.35">
      <c r="A653" s="204">
        <v>28942</v>
      </c>
      <c r="B653" s="544">
        <v>12</v>
      </c>
      <c r="E653">
        <v>11</v>
      </c>
      <c r="I653">
        <v>9.75</v>
      </c>
      <c r="K653">
        <v>9.5</v>
      </c>
    </row>
    <row r="654" spans="1:11" x14ac:dyDescent="0.35">
      <c r="A654" s="204">
        <v>28949</v>
      </c>
      <c r="B654" s="544">
        <v>12</v>
      </c>
      <c r="E654">
        <v>11</v>
      </c>
      <c r="I654">
        <v>9.75</v>
      </c>
      <c r="K654">
        <v>9.5</v>
      </c>
    </row>
    <row r="655" spans="1:11" x14ac:dyDescent="0.35">
      <c r="A655" s="204">
        <v>28956</v>
      </c>
      <c r="B655" s="544">
        <v>12</v>
      </c>
      <c r="E655">
        <v>11</v>
      </c>
      <c r="I655">
        <v>9.5</v>
      </c>
      <c r="K655">
        <v>9.5</v>
      </c>
    </row>
    <row r="656" spans="1:11" x14ac:dyDescent="0.35">
      <c r="A656" s="204">
        <v>28963</v>
      </c>
      <c r="B656" s="544">
        <v>12</v>
      </c>
      <c r="E656">
        <v>11</v>
      </c>
      <c r="I656">
        <v>9.5</v>
      </c>
      <c r="K656">
        <v>9.5</v>
      </c>
    </row>
    <row r="657" spans="1:11" x14ac:dyDescent="0.35">
      <c r="A657" s="204">
        <v>28970</v>
      </c>
      <c r="B657" s="544">
        <v>12</v>
      </c>
      <c r="E657">
        <v>11</v>
      </c>
      <c r="I657">
        <v>9.5</v>
      </c>
      <c r="K657">
        <v>9.5</v>
      </c>
    </row>
    <row r="658" spans="1:11" x14ac:dyDescent="0.35">
      <c r="A658" s="204">
        <v>28977</v>
      </c>
      <c r="B658" s="544">
        <v>12</v>
      </c>
      <c r="E658">
        <v>11</v>
      </c>
      <c r="I658">
        <v>9.5</v>
      </c>
      <c r="K658">
        <v>9.5</v>
      </c>
    </row>
    <row r="659" spans="1:11" x14ac:dyDescent="0.35">
      <c r="A659" s="204">
        <v>28984</v>
      </c>
      <c r="B659" s="544">
        <v>12</v>
      </c>
      <c r="E659">
        <v>11</v>
      </c>
      <c r="I659">
        <v>9.5</v>
      </c>
      <c r="K659">
        <v>9.5</v>
      </c>
    </row>
    <row r="660" spans="1:11" x14ac:dyDescent="0.35">
      <c r="A660" s="204">
        <v>28991</v>
      </c>
      <c r="B660" s="544">
        <v>12</v>
      </c>
      <c r="E660">
        <v>11</v>
      </c>
      <c r="I660">
        <v>9.5</v>
      </c>
      <c r="K660">
        <v>9.5</v>
      </c>
    </row>
    <row r="661" spans="1:11" x14ac:dyDescent="0.35">
      <c r="A661" s="204">
        <v>28998</v>
      </c>
      <c r="B661" s="544">
        <v>12</v>
      </c>
      <c r="E661">
        <v>11</v>
      </c>
      <c r="I661">
        <v>9.5</v>
      </c>
      <c r="K661">
        <v>9.5</v>
      </c>
    </row>
    <row r="662" spans="1:11" x14ac:dyDescent="0.35">
      <c r="A662" s="204">
        <v>29005</v>
      </c>
      <c r="B662" s="544">
        <v>12</v>
      </c>
      <c r="E662">
        <v>11.25</v>
      </c>
      <c r="I662">
        <v>9.5</v>
      </c>
      <c r="K662">
        <v>9.5</v>
      </c>
    </row>
    <row r="663" spans="1:11" x14ac:dyDescent="0.35">
      <c r="A663" s="204">
        <v>29012</v>
      </c>
      <c r="B663" s="544">
        <v>12</v>
      </c>
      <c r="E663">
        <v>11.25</v>
      </c>
      <c r="I663">
        <v>9.5</v>
      </c>
      <c r="K663">
        <v>9.5</v>
      </c>
    </row>
    <row r="664" spans="1:11" x14ac:dyDescent="0.35">
      <c r="A664" s="204">
        <v>29019</v>
      </c>
      <c r="B664" s="544">
        <v>12</v>
      </c>
      <c r="E664">
        <v>11.25</v>
      </c>
      <c r="I664">
        <v>9.5</v>
      </c>
      <c r="K664">
        <v>9.5</v>
      </c>
    </row>
    <row r="665" spans="1:11" x14ac:dyDescent="0.35">
      <c r="A665" s="204">
        <v>29026</v>
      </c>
      <c r="B665" s="544">
        <v>12</v>
      </c>
      <c r="E665">
        <v>11.25</v>
      </c>
      <c r="I665">
        <v>9.5</v>
      </c>
      <c r="K665">
        <v>9.5</v>
      </c>
    </row>
    <row r="666" spans="1:11" x14ac:dyDescent="0.35">
      <c r="A666" s="204">
        <v>29033</v>
      </c>
      <c r="B666" s="544">
        <v>12</v>
      </c>
      <c r="E666">
        <v>11.25</v>
      </c>
      <c r="I666">
        <v>9.5</v>
      </c>
      <c r="K666">
        <v>9.5</v>
      </c>
    </row>
    <row r="667" spans="1:11" x14ac:dyDescent="0.35">
      <c r="A667" s="204">
        <v>29040</v>
      </c>
      <c r="B667" s="544">
        <v>12</v>
      </c>
      <c r="E667">
        <v>11.25</v>
      </c>
      <c r="I667">
        <v>9.5</v>
      </c>
      <c r="K667">
        <v>9.5</v>
      </c>
    </row>
    <row r="668" spans="1:11" x14ac:dyDescent="0.35">
      <c r="A668" s="204">
        <v>29047</v>
      </c>
      <c r="B668" s="544">
        <v>12</v>
      </c>
      <c r="E668">
        <v>11.25</v>
      </c>
      <c r="I668">
        <v>9.5</v>
      </c>
      <c r="K668">
        <v>9.5</v>
      </c>
    </row>
    <row r="669" spans="1:11" x14ac:dyDescent="0.35">
      <c r="A669" s="204">
        <v>29054</v>
      </c>
      <c r="B669" s="544">
        <v>12</v>
      </c>
      <c r="E669">
        <v>11.25</v>
      </c>
      <c r="I669">
        <v>9.5</v>
      </c>
      <c r="K669">
        <v>9.5</v>
      </c>
    </row>
    <row r="670" spans="1:11" x14ac:dyDescent="0.35">
      <c r="A670" s="204">
        <v>29061</v>
      </c>
      <c r="B670" s="544">
        <v>12.5</v>
      </c>
      <c r="E670">
        <v>11.75</v>
      </c>
      <c r="I670">
        <v>9.75</v>
      </c>
      <c r="K670">
        <v>9.5</v>
      </c>
    </row>
    <row r="671" spans="1:11" x14ac:dyDescent="0.35">
      <c r="A671" s="204">
        <v>29068</v>
      </c>
      <c r="B671" s="544">
        <v>12.5</v>
      </c>
      <c r="E671">
        <v>11.75</v>
      </c>
      <c r="I671">
        <v>9.75</v>
      </c>
      <c r="K671">
        <v>10</v>
      </c>
    </row>
    <row r="672" spans="1:11" x14ac:dyDescent="0.35">
      <c r="A672" s="204">
        <v>29075</v>
      </c>
      <c r="B672" s="544">
        <v>12.5</v>
      </c>
      <c r="E672">
        <v>11.75</v>
      </c>
      <c r="I672">
        <v>9.75</v>
      </c>
      <c r="K672">
        <v>10</v>
      </c>
    </row>
    <row r="673" spans="1:11" x14ac:dyDescent="0.35">
      <c r="A673" s="204">
        <v>29082</v>
      </c>
      <c r="B673" s="544">
        <v>12.5</v>
      </c>
      <c r="E673">
        <v>11.75</v>
      </c>
      <c r="I673">
        <v>9.75</v>
      </c>
      <c r="K673">
        <v>10</v>
      </c>
    </row>
    <row r="674" spans="1:11" x14ac:dyDescent="0.35">
      <c r="A674" s="204">
        <v>29089</v>
      </c>
      <c r="B674" s="544">
        <v>12.5</v>
      </c>
      <c r="E674">
        <v>12</v>
      </c>
      <c r="I674">
        <v>9.75</v>
      </c>
      <c r="K674">
        <v>10</v>
      </c>
    </row>
    <row r="675" spans="1:11" x14ac:dyDescent="0.35">
      <c r="A675" s="204">
        <v>29096</v>
      </c>
      <c r="B675" s="544">
        <v>12.5</v>
      </c>
      <c r="E675">
        <v>12</v>
      </c>
      <c r="I675">
        <v>9.75</v>
      </c>
      <c r="K675">
        <v>10</v>
      </c>
    </row>
    <row r="676" spans="1:11" x14ac:dyDescent="0.35">
      <c r="A676" s="204">
        <v>29103</v>
      </c>
      <c r="B676" s="544">
        <v>12.5</v>
      </c>
      <c r="E676">
        <v>12</v>
      </c>
      <c r="I676">
        <v>9.75</v>
      </c>
      <c r="K676">
        <v>10.25</v>
      </c>
    </row>
    <row r="677" spans="1:11" x14ac:dyDescent="0.35">
      <c r="A677" s="204">
        <v>29110</v>
      </c>
      <c r="B677" s="544">
        <v>13</v>
      </c>
      <c r="E677">
        <v>12.75</v>
      </c>
      <c r="I677">
        <v>10</v>
      </c>
      <c r="K677">
        <v>10.25</v>
      </c>
    </row>
    <row r="678" spans="1:11" x14ac:dyDescent="0.35">
      <c r="A678" s="204">
        <v>29117</v>
      </c>
      <c r="B678" s="544">
        <v>13</v>
      </c>
      <c r="E678">
        <v>12.75</v>
      </c>
      <c r="I678">
        <v>10</v>
      </c>
      <c r="K678">
        <v>10.25</v>
      </c>
    </row>
    <row r="679" spans="1:11" x14ac:dyDescent="0.35">
      <c r="A679" s="204">
        <v>29124</v>
      </c>
      <c r="B679" s="544">
        <v>13</v>
      </c>
      <c r="E679">
        <v>12.75</v>
      </c>
      <c r="I679">
        <v>10</v>
      </c>
      <c r="K679">
        <v>10.25</v>
      </c>
    </row>
    <row r="680" spans="1:11" x14ac:dyDescent="0.35">
      <c r="A680" s="204">
        <v>29131</v>
      </c>
      <c r="B680" s="544">
        <v>13</v>
      </c>
      <c r="E680">
        <v>12.75</v>
      </c>
      <c r="I680">
        <v>10</v>
      </c>
      <c r="K680">
        <v>10.75</v>
      </c>
    </row>
    <row r="681" spans="1:11" x14ac:dyDescent="0.35">
      <c r="A681" s="204">
        <v>29138</v>
      </c>
      <c r="B681" s="544">
        <v>13.75</v>
      </c>
      <c r="E681">
        <v>13.75</v>
      </c>
      <c r="I681">
        <v>10.5</v>
      </c>
      <c r="K681">
        <v>10.75</v>
      </c>
    </row>
    <row r="682" spans="1:11" x14ac:dyDescent="0.35">
      <c r="A682" s="204">
        <v>29145</v>
      </c>
      <c r="B682" s="544">
        <v>13.75</v>
      </c>
      <c r="E682">
        <v>13.75</v>
      </c>
      <c r="I682">
        <v>10.5</v>
      </c>
      <c r="K682">
        <v>10.75</v>
      </c>
    </row>
    <row r="683" spans="1:11" x14ac:dyDescent="0.35">
      <c r="A683" s="204">
        <v>29152</v>
      </c>
      <c r="B683" s="544">
        <v>13.75</v>
      </c>
      <c r="E683">
        <v>13.75</v>
      </c>
      <c r="I683">
        <v>10.5</v>
      </c>
      <c r="K683">
        <v>10.75</v>
      </c>
    </row>
    <row r="684" spans="1:11" x14ac:dyDescent="0.35">
      <c r="A684" s="204">
        <v>29159</v>
      </c>
      <c r="B684" s="544">
        <v>14.75</v>
      </c>
      <c r="E684">
        <v>14.75</v>
      </c>
      <c r="I684">
        <v>11</v>
      </c>
      <c r="K684">
        <v>10.75</v>
      </c>
    </row>
    <row r="685" spans="1:11" x14ac:dyDescent="0.35">
      <c r="A685" s="204">
        <v>29166</v>
      </c>
      <c r="B685" s="544">
        <v>15</v>
      </c>
      <c r="E685">
        <v>14.75</v>
      </c>
      <c r="I685">
        <v>11</v>
      </c>
      <c r="K685">
        <v>12</v>
      </c>
    </row>
    <row r="686" spans="1:11" x14ac:dyDescent="0.35">
      <c r="A686" s="204">
        <v>29173</v>
      </c>
      <c r="B686" s="544">
        <v>15</v>
      </c>
      <c r="E686">
        <v>14.75</v>
      </c>
      <c r="I686">
        <v>11</v>
      </c>
      <c r="K686">
        <v>12</v>
      </c>
    </row>
    <row r="687" spans="1:11" x14ac:dyDescent="0.35">
      <c r="A687" s="204">
        <v>29180</v>
      </c>
      <c r="B687" s="544">
        <v>15</v>
      </c>
      <c r="E687">
        <v>14.75</v>
      </c>
      <c r="I687">
        <v>11</v>
      </c>
      <c r="K687">
        <v>12</v>
      </c>
    </row>
    <row r="688" spans="1:11" x14ac:dyDescent="0.35">
      <c r="A688" s="204">
        <v>29187</v>
      </c>
      <c r="B688" s="544">
        <v>15</v>
      </c>
      <c r="E688">
        <v>14.75</v>
      </c>
      <c r="I688">
        <v>11</v>
      </c>
      <c r="K688">
        <v>12</v>
      </c>
    </row>
    <row r="689" spans="1:11" x14ac:dyDescent="0.35">
      <c r="A689" s="204">
        <v>29194</v>
      </c>
      <c r="B689" s="544">
        <v>15</v>
      </c>
      <c r="E689">
        <v>13.75</v>
      </c>
      <c r="I689">
        <v>11</v>
      </c>
      <c r="K689">
        <v>12</v>
      </c>
    </row>
    <row r="690" spans="1:11" x14ac:dyDescent="0.35">
      <c r="A690" s="204">
        <v>29201</v>
      </c>
      <c r="B690" s="544">
        <v>15</v>
      </c>
      <c r="E690">
        <v>13.75</v>
      </c>
      <c r="I690">
        <v>11</v>
      </c>
      <c r="K690">
        <v>12</v>
      </c>
    </row>
    <row r="691" spans="1:11" x14ac:dyDescent="0.35">
      <c r="A691" s="204">
        <v>29208</v>
      </c>
      <c r="B691" s="544">
        <v>15</v>
      </c>
      <c r="E691">
        <v>13.25</v>
      </c>
      <c r="I691">
        <v>11</v>
      </c>
      <c r="K691">
        <v>12</v>
      </c>
    </row>
    <row r="692" spans="1:11" x14ac:dyDescent="0.35">
      <c r="A692" s="204">
        <v>29215</v>
      </c>
      <c r="B692" s="544">
        <v>15</v>
      </c>
      <c r="E692">
        <v>13.25</v>
      </c>
      <c r="I692">
        <v>11</v>
      </c>
      <c r="K692">
        <v>12</v>
      </c>
    </row>
    <row r="693" spans="1:11" x14ac:dyDescent="0.35">
      <c r="A693" s="204">
        <v>29222</v>
      </c>
      <c r="B693" s="544">
        <v>15</v>
      </c>
      <c r="C693">
        <v>13.25</v>
      </c>
      <c r="D693">
        <v>13.25</v>
      </c>
      <c r="E693">
        <v>13.25</v>
      </c>
      <c r="I693">
        <v>11</v>
      </c>
      <c r="K693">
        <v>12</v>
      </c>
    </row>
    <row r="694" spans="1:11" x14ac:dyDescent="0.35">
      <c r="A694" s="204">
        <v>29229</v>
      </c>
      <c r="B694" s="544">
        <v>15</v>
      </c>
      <c r="C694">
        <v>13.25</v>
      </c>
      <c r="D694">
        <v>13.25</v>
      </c>
      <c r="E694">
        <v>13.25</v>
      </c>
      <c r="I694">
        <v>11</v>
      </c>
      <c r="K694">
        <v>12</v>
      </c>
    </row>
    <row r="695" spans="1:11" x14ac:dyDescent="0.35">
      <c r="A695" s="204">
        <v>29236</v>
      </c>
      <c r="B695" s="544">
        <v>15</v>
      </c>
      <c r="C695">
        <v>13.25</v>
      </c>
      <c r="D695">
        <v>13.25</v>
      </c>
      <c r="E695">
        <v>13.25</v>
      </c>
      <c r="I695">
        <v>11</v>
      </c>
      <c r="K695">
        <v>12</v>
      </c>
    </row>
    <row r="696" spans="1:11" x14ac:dyDescent="0.35">
      <c r="A696" s="204">
        <v>29243</v>
      </c>
      <c r="B696" s="544">
        <v>15</v>
      </c>
      <c r="C696">
        <v>13.25</v>
      </c>
      <c r="D696">
        <v>13.25</v>
      </c>
      <c r="E696">
        <v>13.25</v>
      </c>
      <c r="I696">
        <v>11</v>
      </c>
      <c r="K696">
        <v>12</v>
      </c>
    </row>
    <row r="697" spans="1:11" x14ac:dyDescent="0.35">
      <c r="A697" s="204">
        <v>29250</v>
      </c>
      <c r="B697" s="544">
        <v>15</v>
      </c>
      <c r="C697">
        <v>13.25</v>
      </c>
      <c r="D697">
        <v>13.25</v>
      </c>
      <c r="E697">
        <v>13.25</v>
      </c>
      <c r="I697">
        <v>11</v>
      </c>
      <c r="K697">
        <v>12</v>
      </c>
    </row>
    <row r="698" spans="1:11" x14ac:dyDescent="0.35">
      <c r="A698" s="204">
        <v>29257</v>
      </c>
      <c r="B698" s="544">
        <v>15</v>
      </c>
      <c r="C698">
        <v>13.25</v>
      </c>
      <c r="D698">
        <v>13.25</v>
      </c>
      <c r="E698">
        <v>13.25</v>
      </c>
      <c r="I698">
        <v>11</v>
      </c>
      <c r="K698">
        <v>12</v>
      </c>
    </row>
    <row r="699" spans="1:11" x14ac:dyDescent="0.35">
      <c r="A699" s="204">
        <v>29264</v>
      </c>
      <c r="B699" s="544">
        <v>15</v>
      </c>
      <c r="C699">
        <v>13.25</v>
      </c>
      <c r="D699">
        <v>13.25</v>
      </c>
      <c r="E699">
        <v>13.25</v>
      </c>
      <c r="I699">
        <v>11</v>
      </c>
      <c r="K699">
        <v>12</v>
      </c>
    </row>
    <row r="700" spans="1:11" x14ac:dyDescent="0.35">
      <c r="A700" s="204">
        <v>29271</v>
      </c>
      <c r="B700" s="544">
        <v>15</v>
      </c>
      <c r="C700">
        <v>13.75</v>
      </c>
      <c r="D700">
        <v>13.75</v>
      </c>
      <c r="E700">
        <v>13.75</v>
      </c>
      <c r="I700">
        <v>11</v>
      </c>
      <c r="K700">
        <v>12</v>
      </c>
    </row>
    <row r="701" spans="1:11" x14ac:dyDescent="0.35">
      <c r="A701" s="204">
        <v>29278</v>
      </c>
      <c r="B701" s="544">
        <v>15</v>
      </c>
      <c r="C701">
        <v>14.5</v>
      </c>
      <c r="D701">
        <v>14.5</v>
      </c>
      <c r="E701">
        <v>14.5</v>
      </c>
      <c r="I701">
        <v>11</v>
      </c>
      <c r="K701">
        <v>12</v>
      </c>
    </row>
    <row r="702" spans="1:11" x14ac:dyDescent="0.35">
      <c r="A702" s="204">
        <v>29285</v>
      </c>
      <c r="B702" s="544">
        <v>15</v>
      </c>
      <c r="C702">
        <v>14.5</v>
      </c>
      <c r="D702">
        <v>14.5</v>
      </c>
      <c r="E702">
        <v>14.5</v>
      </c>
      <c r="I702">
        <v>11</v>
      </c>
      <c r="K702">
        <v>12</v>
      </c>
    </row>
    <row r="703" spans="1:11" x14ac:dyDescent="0.35">
      <c r="A703" s="204">
        <v>29292</v>
      </c>
      <c r="B703" s="544">
        <v>15</v>
      </c>
      <c r="C703">
        <v>14.5</v>
      </c>
      <c r="D703">
        <v>14.5</v>
      </c>
      <c r="E703">
        <v>14.5</v>
      </c>
      <c r="I703">
        <v>11</v>
      </c>
      <c r="K703">
        <v>12</v>
      </c>
    </row>
    <row r="704" spans="1:11" x14ac:dyDescent="0.35">
      <c r="A704" s="204">
        <v>29299</v>
      </c>
      <c r="B704" s="544">
        <v>15.75</v>
      </c>
      <c r="C704">
        <v>15</v>
      </c>
      <c r="D704">
        <v>15</v>
      </c>
      <c r="E704">
        <v>15.25</v>
      </c>
      <c r="I704">
        <v>12</v>
      </c>
      <c r="K704">
        <v>12</v>
      </c>
    </row>
    <row r="705" spans="1:11" x14ac:dyDescent="0.35">
      <c r="A705" s="204">
        <v>29306</v>
      </c>
      <c r="B705" s="544">
        <v>15.75</v>
      </c>
      <c r="C705">
        <v>15.5</v>
      </c>
      <c r="D705">
        <v>15.5</v>
      </c>
      <c r="E705">
        <v>15.75</v>
      </c>
      <c r="I705">
        <v>12</v>
      </c>
      <c r="K705">
        <v>12</v>
      </c>
    </row>
    <row r="706" spans="1:11" x14ac:dyDescent="0.35">
      <c r="A706" s="204">
        <v>29313</v>
      </c>
      <c r="B706" s="544">
        <v>16.5</v>
      </c>
      <c r="C706">
        <v>16.25</v>
      </c>
      <c r="D706">
        <v>16.5</v>
      </c>
      <c r="E706">
        <v>16.75</v>
      </c>
      <c r="I706">
        <v>13</v>
      </c>
      <c r="K706">
        <v>13.25</v>
      </c>
    </row>
    <row r="707" spans="1:11" x14ac:dyDescent="0.35">
      <c r="A707" s="204">
        <v>29320</v>
      </c>
      <c r="B707" s="544">
        <v>17.5</v>
      </c>
      <c r="C707">
        <v>16.5</v>
      </c>
      <c r="D707">
        <v>16.75</v>
      </c>
      <c r="E707">
        <v>17.25</v>
      </c>
      <c r="I707">
        <v>13</v>
      </c>
      <c r="K707">
        <v>13.25</v>
      </c>
    </row>
    <row r="708" spans="1:11" x14ac:dyDescent="0.35">
      <c r="A708" s="204">
        <v>29327</v>
      </c>
      <c r="B708" s="544">
        <v>17.5</v>
      </c>
      <c r="C708">
        <v>16.75</v>
      </c>
      <c r="D708">
        <v>16.75</v>
      </c>
      <c r="E708">
        <v>17.5</v>
      </c>
      <c r="I708">
        <v>13</v>
      </c>
      <c r="K708">
        <v>13.25</v>
      </c>
    </row>
    <row r="709" spans="1:11" x14ac:dyDescent="0.35">
      <c r="A709" s="204">
        <v>29334</v>
      </c>
      <c r="B709" s="544">
        <v>17.25</v>
      </c>
      <c r="C709">
        <v>16.25</v>
      </c>
      <c r="D709">
        <v>16.25</v>
      </c>
      <c r="E709">
        <v>17</v>
      </c>
      <c r="I709">
        <v>12.5</v>
      </c>
      <c r="K709">
        <v>13.25</v>
      </c>
    </row>
    <row r="710" spans="1:11" x14ac:dyDescent="0.35">
      <c r="A710" s="204">
        <v>29341</v>
      </c>
      <c r="B710" s="544">
        <v>16.75</v>
      </c>
      <c r="C710">
        <v>16</v>
      </c>
      <c r="D710">
        <v>16</v>
      </c>
      <c r="E710">
        <v>16.75</v>
      </c>
      <c r="I710">
        <v>12.25</v>
      </c>
      <c r="K710">
        <v>13.25</v>
      </c>
    </row>
    <row r="711" spans="1:11" x14ac:dyDescent="0.35">
      <c r="A711" s="204">
        <v>29348</v>
      </c>
      <c r="B711" s="544">
        <v>16.5</v>
      </c>
      <c r="C711">
        <v>15</v>
      </c>
      <c r="D711">
        <v>15</v>
      </c>
      <c r="E711">
        <v>15.25</v>
      </c>
      <c r="I711">
        <v>12</v>
      </c>
      <c r="K711">
        <v>12.5</v>
      </c>
    </row>
    <row r="712" spans="1:11" x14ac:dyDescent="0.35">
      <c r="A712" s="204">
        <v>29355</v>
      </c>
      <c r="B712" s="544">
        <v>15.75</v>
      </c>
      <c r="C712">
        <v>14.5</v>
      </c>
      <c r="D712">
        <v>14.5</v>
      </c>
      <c r="E712">
        <v>15</v>
      </c>
      <c r="I712">
        <v>11.5</v>
      </c>
      <c r="K712">
        <v>12.5</v>
      </c>
    </row>
    <row r="713" spans="1:11" x14ac:dyDescent="0.35">
      <c r="A713" s="204">
        <v>29362</v>
      </c>
      <c r="B713" s="544">
        <v>14.75</v>
      </c>
      <c r="C713">
        <v>13.75</v>
      </c>
      <c r="D713">
        <v>13.75</v>
      </c>
      <c r="E713">
        <v>13.75</v>
      </c>
      <c r="I713">
        <v>10.5</v>
      </c>
      <c r="K713">
        <v>12.5</v>
      </c>
    </row>
    <row r="714" spans="1:11" x14ac:dyDescent="0.35">
      <c r="A714" s="204">
        <v>29369</v>
      </c>
      <c r="B714" s="544">
        <v>13.75</v>
      </c>
      <c r="C714">
        <v>13</v>
      </c>
      <c r="D714">
        <v>13</v>
      </c>
      <c r="E714">
        <v>13</v>
      </c>
      <c r="I714">
        <v>10</v>
      </c>
      <c r="K714">
        <v>12.5</v>
      </c>
    </row>
    <row r="715" spans="1:11" x14ac:dyDescent="0.35">
      <c r="A715" s="204">
        <v>29376</v>
      </c>
      <c r="B715" s="544">
        <v>13.75</v>
      </c>
      <c r="C715">
        <v>13</v>
      </c>
      <c r="D715">
        <v>13</v>
      </c>
      <c r="E715">
        <v>13</v>
      </c>
      <c r="I715">
        <v>10</v>
      </c>
      <c r="K715">
        <v>10</v>
      </c>
    </row>
    <row r="716" spans="1:11" x14ac:dyDescent="0.35">
      <c r="A716" s="204">
        <v>29383</v>
      </c>
      <c r="B716" s="544">
        <v>13.75</v>
      </c>
      <c r="C716">
        <v>13</v>
      </c>
      <c r="D716">
        <v>13</v>
      </c>
      <c r="E716">
        <v>13</v>
      </c>
      <c r="I716">
        <v>10</v>
      </c>
      <c r="K716">
        <v>10</v>
      </c>
    </row>
    <row r="717" spans="1:11" x14ac:dyDescent="0.35">
      <c r="A717" s="204">
        <v>29390</v>
      </c>
      <c r="B717" s="544">
        <v>13.75</v>
      </c>
      <c r="C717">
        <v>13</v>
      </c>
      <c r="D717">
        <v>13</v>
      </c>
      <c r="E717">
        <v>13</v>
      </c>
      <c r="I717">
        <v>10</v>
      </c>
      <c r="K717">
        <v>10</v>
      </c>
    </row>
    <row r="718" spans="1:11" x14ac:dyDescent="0.35">
      <c r="A718" s="204">
        <v>29397</v>
      </c>
      <c r="B718" s="544">
        <v>13.25</v>
      </c>
      <c r="C718">
        <v>13</v>
      </c>
      <c r="D718">
        <v>13</v>
      </c>
      <c r="E718">
        <v>13</v>
      </c>
      <c r="I718">
        <v>10</v>
      </c>
      <c r="K718">
        <v>10</v>
      </c>
    </row>
    <row r="719" spans="1:11" x14ac:dyDescent="0.35">
      <c r="A719" s="204">
        <v>29404</v>
      </c>
      <c r="B719" s="544">
        <v>13.25</v>
      </c>
      <c r="C719">
        <v>13</v>
      </c>
      <c r="D719">
        <v>13</v>
      </c>
      <c r="E719">
        <v>13</v>
      </c>
      <c r="I719">
        <v>10</v>
      </c>
      <c r="K719">
        <v>10</v>
      </c>
    </row>
    <row r="720" spans="1:11" x14ac:dyDescent="0.35">
      <c r="A720" s="204">
        <v>29411</v>
      </c>
      <c r="B720" s="544">
        <v>13.25</v>
      </c>
      <c r="C720">
        <v>13</v>
      </c>
      <c r="D720">
        <v>13</v>
      </c>
      <c r="E720">
        <v>13</v>
      </c>
      <c r="I720">
        <v>10</v>
      </c>
      <c r="K720">
        <v>10</v>
      </c>
    </row>
    <row r="721" spans="1:11" x14ac:dyDescent="0.35">
      <c r="A721" s="204">
        <v>29418</v>
      </c>
      <c r="B721" s="544">
        <v>13</v>
      </c>
      <c r="C721">
        <v>13</v>
      </c>
      <c r="D721">
        <v>13</v>
      </c>
      <c r="E721">
        <v>13</v>
      </c>
      <c r="I721">
        <v>10.5</v>
      </c>
      <c r="K721">
        <v>10</v>
      </c>
    </row>
    <row r="722" spans="1:11" x14ac:dyDescent="0.35">
      <c r="A722" s="204">
        <v>29425</v>
      </c>
      <c r="B722" s="544">
        <v>12.75</v>
      </c>
      <c r="C722">
        <v>13</v>
      </c>
      <c r="D722">
        <v>13</v>
      </c>
      <c r="E722">
        <v>13</v>
      </c>
      <c r="I722">
        <v>10.5</v>
      </c>
      <c r="K722">
        <v>10</v>
      </c>
    </row>
    <row r="723" spans="1:11" x14ac:dyDescent="0.35">
      <c r="A723" s="204">
        <v>29432</v>
      </c>
      <c r="B723" s="544">
        <v>12.25</v>
      </c>
      <c r="C723">
        <v>12.75</v>
      </c>
      <c r="D723">
        <v>13.25</v>
      </c>
      <c r="E723">
        <v>13.5</v>
      </c>
      <c r="I723">
        <v>10.5</v>
      </c>
      <c r="K723">
        <v>10</v>
      </c>
    </row>
    <row r="724" spans="1:11" x14ac:dyDescent="0.35">
      <c r="A724" s="204">
        <v>29439</v>
      </c>
      <c r="B724" s="544">
        <v>12.25</v>
      </c>
      <c r="C724">
        <v>12.75</v>
      </c>
      <c r="D724">
        <v>13.25</v>
      </c>
      <c r="E724">
        <v>13.5</v>
      </c>
      <c r="I724">
        <v>10.75</v>
      </c>
      <c r="K724">
        <v>9.25</v>
      </c>
    </row>
    <row r="725" spans="1:11" x14ac:dyDescent="0.35">
      <c r="A725" s="204">
        <v>29446</v>
      </c>
      <c r="B725" s="544">
        <v>12.25</v>
      </c>
      <c r="C725">
        <v>12.75</v>
      </c>
      <c r="D725">
        <v>13.25</v>
      </c>
      <c r="E725">
        <v>13.5</v>
      </c>
      <c r="I725">
        <v>10.75</v>
      </c>
      <c r="K725">
        <v>9.25</v>
      </c>
    </row>
    <row r="726" spans="1:11" x14ac:dyDescent="0.35">
      <c r="A726" s="204">
        <v>29453</v>
      </c>
      <c r="B726" s="544">
        <v>12.25</v>
      </c>
      <c r="C726">
        <v>12.75</v>
      </c>
      <c r="D726">
        <v>13.25</v>
      </c>
      <c r="E726">
        <v>13.75</v>
      </c>
      <c r="I726">
        <v>11</v>
      </c>
      <c r="K726">
        <v>9.25</v>
      </c>
    </row>
    <row r="727" spans="1:11" x14ac:dyDescent="0.35">
      <c r="A727" s="204">
        <v>29460</v>
      </c>
      <c r="B727" s="544">
        <v>12.25</v>
      </c>
      <c r="C727">
        <v>13</v>
      </c>
      <c r="D727">
        <v>13.75</v>
      </c>
      <c r="E727">
        <v>14</v>
      </c>
      <c r="I727">
        <v>11</v>
      </c>
      <c r="K727">
        <v>9.25</v>
      </c>
    </row>
    <row r="728" spans="1:11" x14ac:dyDescent="0.35">
      <c r="A728" s="204">
        <v>29467</v>
      </c>
      <c r="B728" s="544">
        <v>12.25</v>
      </c>
      <c r="C728">
        <v>13.25</v>
      </c>
      <c r="D728">
        <v>14</v>
      </c>
      <c r="E728">
        <v>14.25</v>
      </c>
      <c r="I728">
        <v>11.25</v>
      </c>
      <c r="K728">
        <v>9.25</v>
      </c>
    </row>
    <row r="729" spans="1:11" x14ac:dyDescent="0.35">
      <c r="A729" s="204">
        <v>29474</v>
      </c>
      <c r="B729" s="544">
        <v>12.25</v>
      </c>
      <c r="C729">
        <v>13.25</v>
      </c>
      <c r="D729">
        <v>14</v>
      </c>
      <c r="E729">
        <v>14.25</v>
      </c>
      <c r="I729">
        <v>11.25</v>
      </c>
      <c r="K729">
        <v>9.25</v>
      </c>
    </row>
    <row r="730" spans="1:11" x14ac:dyDescent="0.35">
      <c r="A730" s="204">
        <v>29481</v>
      </c>
      <c r="B730" s="544">
        <v>12.25</v>
      </c>
      <c r="C730">
        <v>13.5</v>
      </c>
      <c r="D730">
        <v>14.25</v>
      </c>
      <c r="E730">
        <v>14.5</v>
      </c>
      <c r="I730">
        <v>11.25</v>
      </c>
      <c r="K730">
        <v>9.25</v>
      </c>
    </row>
    <row r="731" spans="1:11" x14ac:dyDescent="0.35">
      <c r="A731" s="204">
        <v>29488</v>
      </c>
      <c r="B731" s="544">
        <v>12.25</v>
      </c>
      <c r="C731">
        <v>13.75</v>
      </c>
      <c r="D731">
        <v>14.25</v>
      </c>
      <c r="E731">
        <v>14.5</v>
      </c>
      <c r="I731">
        <v>11.25</v>
      </c>
      <c r="K731">
        <v>9.25</v>
      </c>
    </row>
    <row r="732" spans="1:11" x14ac:dyDescent="0.35">
      <c r="A732" s="204">
        <v>29495</v>
      </c>
      <c r="B732" s="544">
        <v>12.25</v>
      </c>
      <c r="C732">
        <v>13.75</v>
      </c>
      <c r="D732">
        <v>14.25</v>
      </c>
      <c r="E732">
        <v>14.5</v>
      </c>
      <c r="I732">
        <v>11.25</v>
      </c>
      <c r="K732">
        <v>10</v>
      </c>
    </row>
    <row r="733" spans="1:11" x14ac:dyDescent="0.35">
      <c r="A733" s="204">
        <v>29502</v>
      </c>
      <c r="B733" s="544">
        <v>13</v>
      </c>
      <c r="C733">
        <v>13.75</v>
      </c>
      <c r="D733">
        <v>14.75</v>
      </c>
      <c r="E733">
        <v>15</v>
      </c>
      <c r="I733">
        <v>11.5</v>
      </c>
      <c r="K733">
        <v>10</v>
      </c>
    </row>
    <row r="734" spans="1:11" x14ac:dyDescent="0.35">
      <c r="A734" s="204">
        <v>29509</v>
      </c>
      <c r="B734" s="544">
        <v>12.75</v>
      </c>
      <c r="C734">
        <v>13.75</v>
      </c>
      <c r="D734">
        <v>14.75</v>
      </c>
      <c r="E734">
        <v>15</v>
      </c>
      <c r="I734">
        <v>11.5</v>
      </c>
      <c r="K734">
        <v>10</v>
      </c>
    </row>
    <row r="735" spans="1:11" x14ac:dyDescent="0.35">
      <c r="A735" s="204">
        <v>29516</v>
      </c>
      <c r="B735" s="544">
        <v>12.75</v>
      </c>
      <c r="C735">
        <v>13.75</v>
      </c>
      <c r="D735">
        <v>14.75</v>
      </c>
      <c r="E735">
        <v>15</v>
      </c>
      <c r="I735">
        <v>11.5</v>
      </c>
      <c r="K735">
        <v>10</v>
      </c>
    </row>
    <row r="736" spans="1:11" x14ac:dyDescent="0.35">
      <c r="A736" s="204">
        <v>29523</v>
      </c>
      <c r="B736" s="544">
        <v>12.75</v>
      </c>
      <c r="C736">
        <v>13.75</v>
      </c>
      <c r="D736">
        <v>14.75</v>
      </c>
      <c r="E736">
        <v>15</v>
      </c>
      <c r="I736">
        <v>11.5</v>
      </c>
      <c r="K736">
        <v>10</v>
      </c>
    </row>
    <row r="737" spans="1:11" x14ac:dyDescent="0.35">
      <c r="A737" s="204">
        <v>29530</v>
      </c>
      <c r="B737" s="544">
        <v>13.25</v>
      </c>
      <c r="C737">
        <v>13.75</v>
      </c>
      <c r="D737">
        <v>14.75</v>
      </c>
      <c r="E737">
        <v>15</v>
      </c>
      <c r="I737">
        <v>11.75</v>
      </c>
      <c r="K737">
        <v>10.5</v>
      </c>
    </row>
    <row r="738" spans="1:11" x14ac:dyDescent="0.35">
      <c r="A738" s="204">
        <v>29537</v>
      </c>
      <c r="B738" s="544">
        <v>13.75</v>
      </c>
      <c r="C738">
        <v>13.75</v>
      </c>
      <c r="D738">
        <v>14.75</v>
      </c>
      <c r="E738">
        <v>15</v>
      </c>
      <c r="I738">
        <v>12</v>
      </c>
      <c r="K738">
        <v>10.5</v>
      </c>
    </row>
    <row r="739" spans="1:11" x14ac:dyDescent="0.35">
      <c r="A739" s="204">
        <v>29544</v>
      </c>
      <c r="B739" s="544">
        <v>13.75</v>
      </c>
      <c r="C739">
        <v>13.75</v>
      </c>
      <c r="D739">
        <v>14.75</v>
      </c>
      <c r="E739">
        <v>15</v>
      </c>
      <c r="F739">
        <v>12.25</v>
      </c>
      <c r="H739">
        <v>13.25</v>
      </c>
      <c r="I739">
        <v>12</v>
      </c>
      <c r="K739">
        <v>10.5</v>
      </c>
    </row>
    <row r="740" spans="1:11" x14ac:dyDescent="0.35">
      <c r="A740" s="204">
        <v>29551</v>
      </c>
      <c r="B740" s="544">
        <v>13.75</v>
      </c>
      <c r="C740">
        <v>13.75</v>
      </c>
      <c r="D740">
        <v>14.75</v>
      </c>
      <c r="E740">
        <v>15</v>
      </c>
      <c r="F740">
        <v>12.25</v>
      </c>
      <c r="H740">
        <v>13</v>
      </c>
      <c r="I740">
        <v>12</v>
      </c>
      <c r="K740">
        <v>10.5</v>
      </c>
    </row>
    <row r="741" spans="1:11" x14ac:dyDescent="0.35">
      <c r="A741" s="204">
        <v>29558</v>
      </c>
      <c r="B741" s="544">
        <v>14.5</v>
      </c>
      <c r="C741">
        <v>14.5</v>
      </c>
      <c r="D741">
        <v>15</v>
      </c>
      <c r="E741">
        <v>15.25</v>
      </c>
      <c r="F741">
        <v>12.25</v>
      </c>
      <c r="H741">
        <v>13</v>
      </c>
      <c r="I741">
        <v>12</v>
      </c>
      <c r="K741">
        <v>11.5</v>
      </c>
    </row>
    <row r="742" spans="1:11" x14ac:dyDescent="0.35">
      <c r="A742" s="204">
        <v>29565</v>
      </c>
      <c r="B742" s="544">
        <v>15.5</v>
      </c>
      <c r="C742">
        <v>15</v>
      </c>
      <c r="D742">
        <v>15</v>
      </c>
      <c r="E742">
        <v>15.5</v>
      </c>
      <c r="F742">
        <v>12.75</v>
      </c>
      <c r="H742">
        <v>13.25</v>
      </c>
      <c r="I742">
        <v>12.25</v>
      </c>
      <c r="K742">
        <v>12.25</v>
      </c>
    </row>
    <row r="743" spans="1:11" x14ac:dyDescent="0.35">
      <c r="A743" s="204">
        <v>29572</v>
      </c>
      <c r="B743" s="544">
        <v>17</v>
      </c>
      <c r="C743">
        <v>15.5</v>
      </c>
      <c r="D743">
        <v>15</v>
      </c>
      <c r="E743">
        <v>15.5</v>
      </c>
      <c r="F743">
        <v>12.75</v>
      </c>
      <c r="H743">
        <v>13.25</v>
      </c>
      <c r="I743">
        <v>12.25</v>
      </c>
      <c r="K743">
        <v>13</v>
      </c>
    </row>
    <row r="744" spans="1:11" x14ac:dyDescent="0.35">
      <c r="A744" s="204">
        <v>29579</v>
      </c>
      <c r="B744" s="544">
        <v>18.25</v>
      </c>
      <c r="C744">
        <v>15.5</v>
      </c>
      <c r="D744">
        <v>15.75</v>
      </c>
      <c r="E744">
        <v>16</v>
      </c>
      <c r="F744">
        <v>13</v>
      </c>
      <c r="H744">
        <v>13.25</v>
      </c>
      <c r="I744">
        <v>12.5</v>
      </c>
      <c r="K744">
        <v>13</v>
      </c>
    </row>
    <row r="745" spans="1:11" x14ac:dyDescent="0.35">
      <c r="A745" s="204">
        <v>29586</v>
      </c>
      <c r="B745" s="544">
        <v>18.25</v>
      </c>
      <c r="C745">
        <v>15.5</v>
      </c>
      <c r="D745">
        <v>15.75</v>
      </c>
      <c r="E745">
        <v>16</v>
      </c>
      <c r="F745">
        <v>13</v>
      </c>
      <c r="H745">
        <v>13.25</v>
      </c>
      <c r="I745">
        <v>12.5</v>
      </c>
      <c r="K745">
        <v>13</v>
      </c>
    </row>
    <row r="746" spans="1:11" x14ac:dyDescent="0.35">
      <c r="A746" s="204">
        <v>29593</v>
      </c>
      <c r="B746" s="544">
        <v>18.25</v>
      </c>
      <c r="C746">
        <v>15.5</v>
      </c>
      <c r="D746">
        <v>15.75</v>
      </c>
      <c r="E746">
        <v>16</v>
      </c>
      <c r="F746">
        <v>13</v>
      </c>
      <c r="H746">
        <v>13.25</v>
      </c>
      <c r="I746">
        <v>12.5</v>
      </c>
      <c r="K746">
        <v>13</v>
      </c>
    </row>
    <row r="747" spans="1:11" x14ac:dyDescent="0.35">
      <c r="A747" s="204">
        <v>29600</v>
      </c>
      <c r="B747" s="544">
        <v>18.25</v>
      </c>
      <c r="C747">
        <v>15.5</v>
      </c>
      <c r="D747">
        <v>15.5</v>
      </c>
      <c r="E747">
        <v>15.5</v>
      </c>
      <c r="F747">
        <v>13</v>
      </c>
      <c r="H747">
        <v>13.25</v>
      </c>
      <c r="I747">
        <v>12.5</v>
      </c>
      <c r="K747">
        <v>13</v>
      </c>
    </row>
    <row r="748" spans="1:11" x14ac:dyDescent="0.35">
      <c r="A748" s="204">
        <v>29607</v>
      </c>
      <c r="B748" s="544">
        <v>18.25</v>
      </c>
      <c r="C748">
        <v>15.25</v>
      </c>
      <c r="D748">
        <v>15.5</v>
      </c>
      <c r="E748">
        <v>15.5</v>
      </c>
      <c r="F748">
        <v>12.75</v>
      </c>
      <c r="H748">
        <v>13.25</v>
      </c>
      <c r="I748">
        <v>12.5</v>
      </c>
      <c r="K748">
        <v>13</v>
      </c>
    </row>
    <row r="749" spans="1:11" x14ac:dyDescent="0.35">
      <c r="A749" s="204">
        <v>29614</v>
      </c>
      <c r="B749" s="544">
        <v>18.25</v>
      </c>
      <c r="C749">
        <v>15.25</v>
      </c>
      <c r="D749">
        <v>15.5</v>
      </c>
      <c r="E749">
        <v>15.5</v>
      </c>
      <c r="F749">
        <v>13</v>
      </c>
      <c r="H749">
        <v>13.25</v>
      </c>
      <c r="I749">
        <v>12.5</v>
      </c>
      <c r="K749">
        <v>13</v>
      </c>
    </row>
    <row r="750" spans="1:11" x14ac:dyDescent="0.35">
      <c r="A750" s="204">
        <v>29621</v>
      </c>
      <c r="B750" s="544">
        <v>18.25</v>
      </c>
      <c r="C750">
        <v>15.25</v>
      </c>
      <c r="D750">
        <v>15.5</v>
      </c>
      <c r="E750">
        <v>15.5</v>
      </c>
      <c r="F750">
        <v>13</v>
      </c>
      <c r="H750">
        <v>13.25</v>
      </c>
      <c r="I750">
        <v>12.5</v>
      </c>
      <c r="K750">
        <v>13.5</v>
      </c>
    </row>
    <row r="751" spans="1:11" x14ac:dyDescent="0.35">
      <c r="A751" s="204">
        <v>29628</v>
      </c>
      <c r="B751" s="544">
        <v>18.25</v>
      </c>
      <c r="C751">
        <v>15.25</v>
      </c>
      <c r="D751">
        <v>15.5</v>
      </c>
      <c r="E751">
        <v>15.5</v>
      </c>
      <c r="F751">
        <v>13.25</v>
      </c>
      <c r="H751">
        <v>13.25</v>
      </c>
      <c r="I751">
        <v>12.5</v>
      </c>
      <c r="K751">
        <v>13.5</v>
      </c>
    </row>
    <row r="752" spans="1:11" x14ac:dyDescent="0.35">
      <c r="A752" s="204">
        <v>29635</v>
      </c>
      <c r="B752" s="544">
        <v>18.25</v>
      </c>
      <c r="C752">
        <v>15.5</v>
      </c>
      <c r="D752">
        <v>15.5</v>
      </c>
      <c r="E752">
        <v>15.5</v>
      </c>
      <c r="F752">
        <v>13.25</v>
      </c>
      <c r="H752">
        <v>13.25</v>
      </c>
      <c r="I752">
        <v>13</v>
      </c>
      <c r="K752">
        <v>13.5</v>
      </c>
    </row>
    <row r="753" spans="1:11" x14ac:dyDescent="0.35">
      <c r="A753" s="204">
        <v>29642</v>
      </c>
      <c r="B753" s="544">
        <v>18.25</v>
      </c>
      <c r="C753">
        <v>15.5</v>
      </c>
      <c r="D753">
        <v>15.5</v>
      </c>
      <c r="E753">
        <v>15.5</v>
      </c>
      <c r="F753">
        <v>13.25</v>
      </c>
      <c r="H753">
        <v>13.25</v>
      </c>
      <c r="I753">
        <v>13</v>
      </c>
      <c r="K753">
        <v>13.5</v>
      </c>
    </row>
    <row r="754" spans="1:11" x14ac:dyDescent="0.35">
      <c r="A754" s="204">
        <v>29649</v>
      </c>
      <c r="B754" s="544">
        <v>18.25</v>
      </c>
      <c r="C754">
        <v>15.5</v>
      </c>
      <c r="D754">
        <v>15.75</v>
      </c>
      <c r="E754">
        <v>15.75</v>
      </c>
      <c r="F754">
        <v>13.5</v>
      </c>
      <c r="H754">
        <v>13.5</v>
      </c>
      <c r="I754">
        <v>13</v>
      </c>
      <c r="K754">
        <v>13.5</v>
      </c>
    </row>
    <row r="755" spans="1:11" x14ac:dyDescent="0.35">
      <c r="A755" s="204">
        <v>29656</v>
      </c>
      <c r="B755" s="544">
        <v>18.25</v>
      </c>
      <c r="C755">
        <v>15.75</v>
      </c>
      <c r="D755">
        <v>16</v>
      </c>
      <c r="E755">
        <v>16</v>
      </c>
      <c r="F755">
        <v>13.75</v>
      </c>
      <c r="H755">
        <v>13.75</v>
      </c>
      <c r="I755">
        <v>13</v>
      </c>
      <c r="K755">
        <v>13.5</v>
      </c>
    </row>
    <row r="756" spans="1:11" x14ac:dyDescent="0.35">
      <c r="A756" s="204">
        <v>29663</v>
      </c>
      <c r="B756" s="544">
        <v>18.25</v>
      </c>
      <c r="C756">
        <v>15.75</v>
      </c>
      <c r="D756">
        <v>16</v>
      </c>
      <c r="E756">
        <v>16</v>
      </c>
      <c r="F756">
        <v>13.75</v>
      </c>
      <c r="H756">
        <v>13.75</v>
      </c>
      <c r="I756">
        <v>13</v>
      </c>
      <c r="K756">
        <v>13.5</v>
      </c>
    </row>
    <row r="757" spans="1:11" x14ac:dyDescent="0.35">
      <c r="A757" s="204">
        <v>29670</v>
      </c>
      <c r="B757" s="544">
        <v>17.75</v>
      </c>
      <c r="C757">
        <v>16</v>
      </c>
      <c r="D757">
        <v>16</v>
      </c>
      <c r="E757">
        <v>16</v>
      </c>
      <c r="F757">
        <v>13.75</v>
      </c>
      <c r="H757">
        <v>14</v>
      </c>
      <c r="I757">
        <v>13</v>
      </c>
      <c r="K757">
        <v>13.5</v>
      </c>
    </row>
    <row r="758" spans="1:11" x14ac:dyDescent="0.35">
      <c r="A758" s="204">
        <v>29677</v>
      </c>
      <c r="B758" s="544">
        <v>17.75</v>
      </c>
      <c r="C758">
        <v>16</v>
      </c>
      <c r="D758">
        <v>16</v>
      </c>
      <c r="E758">
        <v>16</v>
      </c>
      <c r="F758">
        <v>14</v>
      </c>
      <c r="H758">
        <v>14</v>
      </c>
      <c r="I758">
        <v>13</v>
      </c>
      <c r="K758">
        <v>13.5</v>
      </c>
    </row>
    <row r="759" spans="1:11" x14ac:dyDescent="0.35">
      <c r="A759" s="204">
        <v>29684</v>
      </c>
      <c r="B759" s="544">
        <v>17.75</v>
      </c>
      <c r="C759">
        <v>16.25</v>
      </c>
      <c r="D759">
        <v>16.5</v>
      </c>
      <c r="E759">
        <v>16.5</v>
      </c>
      <c r="F759">
        <v>14.25</v>
      </c>
      <c r="H759">
        <v>14.25</v>
      </c>
      <c r="I759">
        <v>13</v>
      </c>
      <c r="K759">
        <v>13.5</v>
      </c>
    </row>
    <row r="760" spans="1:11" x14ac:dyDescent="0.35">
      <c r="A760" s="204">
        <v>29691</v>
      </c>
      <c r="B760" s="544">
        <v>17.75</v>
      </c>
      <c r="C760">
        <v>16.25</v>
      </c>
      <c r="D760">
        <v>16.5</v>
      </c>
      <c r="E760">
        <v>16.5</v>
      </c>
      <c r="F760">
        <v>14.25</v>
      </c>
      <c r="H760">
        <v>14.25</v>
      </c>
      <c r="I760">
        <v>13.25</v>
      </c>
      <c r="K760">
        <v>13.5</v>
      </c>
    </row>
    <row r="761" spans="1:11" x14ac:dyDescent="0.35">
      <c r="A761" s="204">
        <v>29698</v>
      </c>
      <c r="B761" s="544">
        <v>18.25</v>
      </c>
      <c r="C761">
        <v>16.25</v>
      </c>
      <c r="D761">
        <v>16.5</v>
      </c>
      <c r="E761">
        <v>16.5</v>
      </c>
      <c r="F761">
        <v>14.5</v>
      </c>
      <c r="H761">
        <v>14.5</v>
      </c>
      <c r="I761">
        <v>14</v>
      </c>
      <c r="K761">
        <v>14</v>
      </c>
    </row>
    <row r="762" spans="1:11" x14ac:dyDescent="0.35">
      <c r="A762" s="204">
        <v>29705</v>
      </c>
      <c r="B762" s="544">
        <v>18.25</v>
      </c>
      <c r="C762">
        <v>17.25</v>
      </c>
      <c r="D762">
        <v>17</v>
      </c>
      <c r="E762">
        <v>17</v>
      </c>
      <c r="F762">
        <v>15</v>
      </c>
      <c r="H762">
        <v>14.75</v>
      </c>
      <c r="I762">
        <v>14</v>
      </c>
      <c r="K762">
        <v>14</v>
      </c>
    </row>
    <row r="763" spans="1:11" x14ac:dyDescent="0.35">
      <c r="A763" s="204">
        <v>29712</v>
      </c>
      <c r="B763" s="544">
        <v>18.5</v>
      </c>
      <c r="C763">
        <v>17.5</v>
      </c>
      <c r="D763">
        <v>17.5</v>
      </c>
      <c r="E763">
        <v>17.5</v>
      </c>
      <c r="F763">
        <v>15.5</v>
      </c>
      <c r="H763">
        <v>15.25</v>
      </c>
      <c r="I763">
        <v>14.25</v>
      </c>
      <c r="K763">
        <v>14.75</v>
      </c>
    </row>
    <row r="764" spans="1:11" x14ac:dyDescent="0.35">
      <c r="A764" s="204">
        <v>29719</v>
      </c>
      <c r="B764" s="544">
        <v>19.5</v>
      </c>
      <c r="C764">
        <v>18</v>
      </c>
      <c r="D764">
        <v>18</v>
      </c>
      <c r="E764">
        <v>18</v>
      </c>
      <c r="F764">
        <v>16</v>
      </c>
      <c r="H764">
        <v>15.75</v>
      </c>
      <c r="I764">
        <v>15.5</v>
      </c>
      <c r="K764">
        <v>15.75</v>
      </c>
    </row>
    <row r="765" spans="1:11" x14ac:dyDescent="0.35">
      <c r="A765" s="204">
        <v>29726</v>
      </c>
      <c r="B765" s="544">
        <v>19.5</v>
      </c>
      <c r="C765">
        <v>18</v>
      </c>
      <c r="D765">
        <v>18</v>
      </c>
      <c r="E765">
        <v>18</v>
      </c>
      <c r="F765">
        <v>16</v>
      </c>
      <c r="H765">
        <v>15.75</v>
      </c>
      <c r="I765">
        <v>15.5</v>
      </c>
      <c r="K765">
        <v>15.75</v>
      </c>
    </row>
    <row r="766" spans="1:11" x14ac:dyDescent="0.35">
      <c r="A766" s="204">
        <v>29733</v>
      </c>
      <c r="B766" s="544">
        <v>19.5</v>
      </c>
      <c r="C766">
        <v>18</v>
      </c>
      <c r="D766">
        <v>18.5</v>
      </c>
      <c r="E766">
        <v>18.5</v>
      </c>
      <c r="F766">
        <v>16</v>
      </c>
      <c r="H766">
        <v>15.75</v>
      </c>
      <c r="I766">
        <v>15.5</v>
      </c>
      <c r="K766">
        <v>15.75</v>
      </c>
    </row>
    <row r="767" spans="1:11" x14ac:dyDescent="0.35">
      <c r="A767" s="204">
        <v>29740</v>
      </c>
      <c r="B767" s="544">
        <v>19.5</v>
      </c>
      <c r="C767">
        <v>18</v>
      </c>
      <c r="D767">
        <v>18.5</v>
      </c>
      <c r="E767">
        <v>18.5</v>
      </c>
      <c r="F767">
        <v>16.25</v>
      </c>
      <c r="H767">
        <v>15.75</v>
      </c>
      <c r="I767">
        <v>15.5</v>
      </c>
      <c r="K767">
        <v>15.75</v>
      </c>
    </row>
    <row r="768" spans="1:11" x14ac:dyDescent="0.35">
      <c r="A768" s="204">
        <v>29747</v>
      </c>
      <c r="B768" s="544">
        <v>20</v>
      </c>
      <c r="C768">
        <v>18.5</v>
      </c>
      <c r="D768">
        <v>18.5</v>
      </c>
      <c r="E768">
        <v>18.5</v>
      </c>
      <c r="F768">
        <v>16.25</v>
      </c>
      <c r="H768">
        <v>15.75</v>
      </c>
      <c r="I768">
        <v>15.75</v>
      </c>
      <c r="K768">
        <v>16.25</v>
      </c>
    </row>
    <row r="769" spans="1:11" x14ac:dyDescent="0.35">
      <c r="A769" s="204">
        <v>29754</v>
      </c>
      <c r="B769" s="544">
        <v>20</v>
      </c>
      <c r="C769">
        <v>18.5</v>
      </c>
      <c r="D769">
        <v>18.75</v>
      </c>
      <c r="E769">
        <v>18.75</v>
      </c>
      <c r="F769">
        <v>16.25</v>
      </c>
      <c r="H769">
        <v>15.75</v>
      </c>
      <c r="I769">
        <v>15.75</v>
      </c>
      <c r="K769">
        <v>16.25</v>
      </c>
    </row>
    <row r="770" spans="1:11" x14ac:dyDescent="0.35">
      <c r="A770" s="204">
        <v>29761</v>
      </c>
      <c r="B770" s="544">
        <v>20</v>
      </c>
      <c r="C770">
        <v>18.5</v>
      </c>
      <c r="D770">
        <v>18.75</v>
      </c>
      <c r="E770">
        <v>18.75</v>
      </c>
      <c r="F770">
        <v>16.25</v>
      </c>
      <c r="H770">
        <v>15.75</v>
      </c>
      <c r="I770">
        <v>15.75</v>
      </c>
      <c r="K770">
        <v>16.25</v>
      </c>
    </row>
    <row r="771" spans="1:11" x14ac:dyDescent="0.35">
      <c r="A771" s="204">
        <v>29768</v>
      </c>
      <c r="B771" s="544">
        <v>20</v>
      </c>
      <c r="C771">
        <v>18.5</v>
      </c>
      <c r="D771">
        <v>18.75</v>
      </c>
      <c r="E771">
        <v>18.75</v>
      </c>
      <c r="F771">
        <v>16.5</v>
      </c>
      <c r="H771">
        <v>16</v>
      </c>
      <c r="I771">
        <v>15.75</v>
      </c>
      <c r="K771">
        <v>16.25</v>
      </c>
    </row>
    <row r="772" spans="1:11" x14ac:dyDescent="0.35">
      <c r="A772" s="204">
        <v>29775</v>
      </c>
      <c r="B772" s="544">
        <v>20</v>
      </c>
      <c r="C772">
        <v>18.5</v>
      </c>
      <c r="D772">
        <v>18.75</v>
      </c>
      <c r="E772">
        <v>18.75</v>
      </c>
      <c r="F772">
        <v>16.5</v>
      </c>
      <c r="H772">
        <v>16</v>
      </c>
      <c r="I772">
        <v>15.75</v>
      </c>
      <c r="K772">
        <v>16.25</v>
      </c>
    </row>
    <row r="773" spans="1:11" x14ac:dyDescent="0.35">
      <c r="A773" s="204">
        <v>29782</v>
      </c>
      <c r="B773" s="544">
        <v>20</v>
      </c>
      <c r="C773">
        <v>18.75</v>
      </c>
      <c r="D773">
        <v>18.75</v>
      </c>
      <c r="E773">
        <v>18.75</v>
      </c>
      <c r="F773">
        <v>16.75</v>
      </c>
      <c r="H773">
        <v>16</v>
      </c>
      <c r="I773">
        <v>15.75</v>
      </c>
      <c r="K773">
        <v>16.25</v>
      </c>
    </row>
    <row r="774" spans="1:11" x14ac:dyDescent="0.35">
      <c r="A774" s="204">
        <v>29789</v>
      </c>
      <c r="B774" s="544">
        <v>20</v>
      </c>
      <c r="C774">
        <v>18.75</v>
      </c>
      <c r="D774">
        <v>18.75</v>
      </c>
      <c r="E774">
        <v>18.75</v>
      </c>
      <c r="F774">
        <v>16.75</v>
      </c>
      <c r="H774">
        <v>16</v>
      </c>
      <c r="I774">
        <v>15.75</v>
      </c>
      <c r="K774">
        <v>16.25</v>
      </c>
    </row>
    <row r="775" spans="1:11" x14ac:dyDescent="0.35">
      <c r="A775" s="204">
        <v>29796</v>
      </c>
      <c r="B775" s="544">
        <v>21</v>
      </c>
      <c r="C775">
        <v>19.75</v>
      </c>
      <c r="D775">
        <v>19.75</v>
      </c>
      <c r="E775">
        <v>20</v>
      </c>
      <c r="F775">
        <v>17.5</v>
      </c>
      <c r="H775">
        <v>17</v>
      </c>
      <c r="I775">
        <v>16.5</v>
      </c>
      <c r="K775">
        <v>17.25</v>
      </c>
    </row>
    <row r="776" spans="1:11" x14ac:dyDescent="0.35">
      <c r="A776" s="204">
        <v>29803</v>
      </c>
      <c r="B776" s="544">
        <v>21.75</v>
      </c>
      <c r="C776">
        <v>20.25</v>
      </c>
      <c r="D776">
        <v>20.5</v>
      </c>
      <c r="E776">
        <v>20.75</v>
      </c>
      <c r="F776">
        <v>18.25</v>
      </c>
      <c r="H776">
        <v>17.75</v>
      </c>
      <c r="I776">
        <v>17</v>
      </c>
      <c r="K776">
        <v>18</v>
      </c>
    </row>
    <row r="777" spans="1:11" x14ac:dyDescent="0.35">
      <c r="A777" s="204">
        <v>29810</v>
      </c>
      <c r="B777" s="544">
        <v>22.75</v>
      </c>
      <c r="C777">
        <v>21.25</v>
      </c>
      <c r="D777">
        <v>21.5</v>
      </c>
      <c r="E777">
        <v>21.75</v>
      </c>
      <c r="F777">
        <v>19.5</v>
      </c>
      <c r="H777">
        <v>17.75</v>
      </c>
      <c r="I777">
        <v>17.5</v>
      </c>
      <c r="K777">
        <v>19</v>
      </c>
    </row>
    <row r="778" spans="1:11" x14ac:dyDescent="0.35">
      <c r="A778" s="204">
        <v>29817</v>
      </c>
      <c r="B778" s="544">
        <v>22.75</v>
      </c>
      <c r="C778">
        <v>21.25</v>
      </c>
      <c r="D778">
        <v>21.5</v>
      </c>
      <c r="E778">
        <v>21.75</v>
      </c>
      <c r="F778">
        <v>19.5</v>
      </c>
      <c r="H778">
        <v>17.75</v>
      </c>
      <c r="I778">
        <v>17.5</v>
      </c>
      <c r="K778">
        <v>19</v>
      </c>
    </row>
    <row r="779" spans="1:11" x14ac:dyDescent="0.35">
      <c r="A779" s="204">
        <v>29824</v>
      </c>
      <c r="B779" s="544">
        <v>22.75</v>
      </c>
      <c r="C779">
        <v>21.25</v>
      </c>
      <c r="D779">
        <v>21.5</v>
      </c>
      <c r="E779">
        <v>21.75</v>
      </c>
      <c r="F779">
        <v>19.25</v>
      </c>
      <c r="H779">
        <v>17.75</v>
      </c>
      <c r="I779">
        <v>17.5</v>
      </c>
      <c r="K779">
        <v>19</v>
      </c>
    </row>
    <row r="780" spans="1:11" x14ac:dyDescent="0.35">
      <c r="A780" s="204">
        <v>29831</v>
      </c>
      <c r="B780" s="544">
        <v>22.75</v>
      </c>
      <c r="C780">
        <v>21.25</v>
      </c>
      <c r="D780">
        <v>21.5</v>
      </c>
      <c r="E780">
        <v>21.75</v>
      </c>
      <c r="F780">
        <v>19</v>
      </c>
      <c r="H780">
        <v>17.75</v>
      </c>
      <c r="I780">
        <v>17.5</v>
      </c>
      <c r="K780">
        <v>19</v>
      </c>
    </row>
    <row r="781" spans="1:11" x14ac:dyDescent="0.35">
      <c r="A781" s="204">
        <v>29838</v>
      </c>
      <c r="B781" s="544">
        <v>22.25</v>
      </c>
      <c r="C781">
        <v>21.25</v>
      </c>
      <c r="D781">
        <v>21.5</v>
      </c>
      <c r="E781">
        <v>21.75</v>
      </c>
      <c r="F781">
        <v>19</v>
      </c>
      <c r="H781">
        <v>17.75</v>
      </c>
      <c r="I781">
        <v>17.5</v>
      </c>
      <c r="K781">
        <v>19</v>
      </c>
    </row>
    <row r="782" spans="1:11" x14ac:dyDescent="0.35">
      <c r="A782" s="204">
        <v>29845</v>
      </c>
      <c r="B782" s="544">
        <v>21.75</v>
      </c>
      <c r="C782">
        <v>21.25</v>
      </c>
      <c r="D782">
        <v>21.5</v>
      </c>
      <c r="E782">
        <v>21.75</v>
      </c>
      <c r="F782">
        <v>19</v>
      </c>
      <c r="H782">
        <v>17.5</v>
      </c>
      <c r="I782">
        <v>17</v>
      </c>
      <c r="K782">
        <v>19</v>
      </c>
    </row>
    <row r="783" spans="1:11" x14ac:dyDescent="0.35">
      <c r="A783" s="204">
        <v>29852</v>
      </c>
      <c r="B783" s="544">
        <v>21.25</v>
      </c>
      <c r="C783">
        <v>21.25</v>
      </c>
      <c r="D783">
        <v>21.5</v>
      </c>
      <c r="E783">
        <v>21.75</v>
      </c>
      <c r="F783">
        <v>19</v>
      </c>
      <c r="H783">
        <v>17.5</v>
      </c>
      <c r="I783">
        <v>17</v>
      </c>
      <c r="K783">
        <v>19</v>
      </c>
    </row>
    <row r="784" spans="1:11" x14ac:dyDescent="0.35">
      <c r="A784" s="204">
        <v>29859</v>
      </c>
      <c r="B784" s="544">
        <v>21.25</v>
      </c>
      <c r="C784">
        <v>21.25</v>
      </c>
      <c r="D784">
        <v>21.5</v>
      </c>
      <c r="E784">
        <v>21.75</v>
      </c>
      <c r="F784">
        <v>19</v>
      </c>
      <c r="H784">
        <v>17.5</v>
      </c>
      <c r="I784">
        <v>17</v>
      </c>
      <c r="K784">
        <v>19</v>
      </c>
    </row>
    <row r="785" spans="1:11" x14ac:dyDescent="0.35">
      <c r="A785" s="204">
        <v>29866</v>
      </c>
      <c r="B785" s="544">
        <v>21.25</v>
      </c>
      <c r="C785">
        <v>21.25</v>
      </c>
      <c r="D785">
        <v>21.5</v>
      </c>
      <c r="E785">
        <v>21.75</v>
      </c>
      <c r="F785">
        <v>19</v>
      </c>
      <c r="H785">
        <v>17.5</v>
      </c>
      <c r="I785">
        <v>17</v>
      </c>
      <c r="K785">
        <v>17.25</v>
      </c>
    </row>
    <row r="786" spans="1:11" x14ac:dyDescent="0.35">
      <c r="A786" s="204">
        <v>29873</v>
      </c>
      <c r="B786" s="544">
        <v>20.5</v>
      </c>
      <c r="C786">
        <v>20</v>
      </c>
      <c r="D786">
        <v>21</v>
      </c>
      <c r="E786">
        <v>21.25</v>
      </c>
      <c r="F786">
        <v>18.5</v>
      </c>
      <c r="H786">
        <v>17</v>
      </c>
      <c r="I786">
        <v>17</v>
      </c>
      <c r="K786">
        <v>17.25</v>
      </c>
    </row>
    <row r="787" spans="1:11" x14ac:dyDescent="0.35">
      <c r="A787" s="204">
        <v>29880</v>
      </c>
      <c r="B787" s="544">
        <v>20</v>
      </c>
      <c r="C787">
        <v>19.75</v>
      </c>
      <c r="D787">
        <v>20</v>
      </c>
      <c r="E787">
        <v>20.25</v>
      </c>
      <c r="F787">
        <v>18</v>
      </c>
      <c r="H787">
        <v>17</v>
      </c>
      <c r="I787">
        <v>17</v>
      </c>
      <c r="K787">
        <v>16.75</v>
      </c>
    </row>
    <row r="788" spans="1:11" x14ac:dyDescent="0.35">
      <c r="A788" s="204">
        <v>29887</v>
      </c>
      <c r="B788" s="544">
        <v>20</v>
      </c>
      <c r="C788">
        <v>19.75</v>
      </c>
      <c r="D788">
        <v>20</v>
      </c>
      <c r="E788">
        <v>20.25</v>
      </c>
      <c r="F788">
        <v>18</v>
      </c>
      <c r="H788">
        <v>17</v>
      </c>
      <c r="I788">
        <v>17</v>
      </c>
      <c r="K788">
        <v>16.75</v>
      </c>
    </row>
    <row r="789" spans="1:11" x14ac:dyDescent="0.35">
      <c r="A789" s="204">
        <v>29894</v>
      </c>
      <c r="B789" s="544">
        <v>20</v>
      </c>
      <c r="C789">
        <v>19.75</v>
      </c>
      <c r="D789">
        <v>20</v>
      </c>
      <c r="E789">
        <v>20.25</v>
      </c>
      <c r="F789">
        <v>18</v>
      </c>
      <c r="H789">
        <v>17</v>
      </c>
      <c r="I789">
        <v>17</v>
      </c>
      <c r="K789">
        <v>16.75</v>
      </c>
    </row>
    <row r="790" spans="1:11" x14ac:dyDescent="0.35">
      <c r="A790" s="204">
        <v>29901</v>
      </c>
      <c r="B790" s="544">
        <v>19.5</v>
      </c>
      <c r="C790">
        <v>19.25</v>
      </c>
      <c r="D790">
        <v>19.5</v>
      </c>
      <c r="E790">
        <v>18.75</v>
      </c>
      <c r="F790">
        <v>17</v>
      </c>
      <c r="H790">
        <v>16.75</v>
      </c>
      <c r="I790">
        <v>16.25</v>
      </c>
      <c r="K790">
        <v>16.25</v>
      </c>
    </row>
    <row r="791" spans="1:11" x14ac:dyDescent="0.35">
      <c r="A791" s="204">
        <v>29908</v>
      </c>
      <c r="B791" s="544">
        <v>18</v>
      </c>
      <c r="C791">
        <v>18.25</v>
      </c>
      <c r="D791">
        <v>18.25</v>
      </c>
      <c r="E791">
        <v>18.25</v>
      </c>
      <c r="F791">
        <v>15.5</v>
      </c>
      <c r="H791">
        <v>15</v>
      </c>
      <c r="I791">
        <v>14.75</v>
      </c>
      <c r="K791">
        <v>14.75</v>
      </c>
    </row>
    <row r="792" spans="1:11" x14ac:dyDescent="0.35">
      <c r="A792" s="204">
        <v>29915</v>
      </c>
      <c r="B792" s="544">
        <v>17.25</v>
      </c>
      <c r="C792">
        <v>17.5</v>
      </c>
      <c r="D792">
        <v>18</v>
      </c>
      <c r="E792">
        <v>17.75</v>
      </c>
      <c r="F792">
        <v>14.75</v>
      </c>
      <c r="H792">
        <v>14.25</v>
      </c>
      <c r="I792">
        <v>13.5</v>
      </c>
      <c r="K792">
        <v>13.5</v>
      </c>
    </row>
    <row r="793" spans="1:11" x14ac:dyDescent="0.35">
      <c r="A793" s="204">
        <v>29922</v>
      </c>
      <c r="B793" s="544">
        <v>17.25</v>
      </c>
      <c r="C793">
        <v>17.5</v>
      </c>
      <c r="D793">
        <v>18</v>
      </c>
      <c r="E793">
        <v>17.75</v>
      </c>
      <c r="F793">
        <v>14.5</v>
      </c>
      <c r="H793">
        <v>13.5</v>
      </c>
      <c r="I793">
        <v>13.5</v>
      </c>
      <c r="K793">
        <v>13.5</v>
      </c>
    </row>
    <row r="794" spans="1:11" x14ac:dyDescent="0.35">
      <c r="A794" s="204">
        <v>29929</v>
      </c>
      <c r="B794" s="544">
        <v>17.25</v>
      </c>
      <c r="C794">
        <v>17.5</v>
      </c>
      <c r="D794">
        <v>18</v>
      </c>
      <c r="E794">
        <v>17.75</v>
      </c>
      <c r="F794">
        <v>14.5</v>
      </c>
      <c r="H794">
        <v>13.5</v>
      </c>
      <c r="I794">
        <v>13.5</v>
      </c>
      <c r="K794">
        <v>13.5</v>
      </c>
    </row>
    <row r="795" spans="1:11" x14ac:dyDescent="0.35">
      <c r="A795" s="204">
        <v>29936</v>
      </c>
      <c r="B795" s="544">
        <v>17.25</v>
      </c>
      <c r="C795">
        <v>17.5</v>
      </c>
      <c r="D795">
        <v>18</v>
      </c>
      <c r="E795">
        <v>17.75</v>
      </c>
      <c r="F795">
        <v>14.75</v>
      </c>
      <c r="H795">
        <v>13.5</v>
      </c>
      <c r="I795">
        <v>13.5</v>
      </c>
      <c r="K795">
        <v>13.5</v>
      </c>
    </row>
    <row r="796" spans="1:11" x14ac:dyDescent="0.35">
      <c r="A796" s="204">
        <v>29943</v>
      </c>
      <c r="B796" s="544">
        <v>17.25</v>
      </c>
      <c r="C796">
        <v>17.5</v>
      </c>
      <c r="D796">
        <v>18</v>
      </c>
      <c r="E796">
        <v>17.75</v>
      </c>
      <c r="F796">
        <v>14.75</v>
      </c>
      <c r="H796">
        <v>14.5</v>
      </c>
      <c r="I796">
        <v>13.5</v>
      </c>
      <c r="K796">
        <v>13.5</v>
      </c>
    </row>
    <row r="797" spans="1:11" x14ac:dyDescent="0.35">
      <c r="A797" s="204">
        <v>29950</v>
      </c>
      <c r="B797" s="544">
        <v>17.25</v>
      </c>
      <c r="C797">
        <v>17.5</v>
      </c>
      <c r="D797">
        <v>18</v>
      </c>
      <c r="E797">
        <v>17.75</v>
      </c>
      <c r="F797">
        <v>14.75</v>
      </c>
      <c r="H797">
        <v>14.5</v>
      </c>
      <c r="I797">
        <v>13.5</v>
      </c>
      <c r="K797">
        <v>13.5</v>
      </c>
    </row>
    <row r="798" spans="1:11" x14ac:dyDescent="0.35">
      <c r="A798" s="204">
        <v>29957</v>
      </c>
      <c r="B798" s="544">
        <v>16.5</v>
      </c>
      <c r="C798">
        <v>17.5</v>
      </c>
      <c r="D798">
        <v>18</v>
      </c>
      <c r="E798">
        <v>17.75</v>
      </c>
      <c r="F798">
        <v>15</v>
      </c>
      <c r="H798">
        <v>14.5</v>
      </c>
      <c r="I798">
        <v>13.5</v>
      </c>
      <c r="K798">
        <v>12.75</v>
      </c>
    </row>
    <row r="799" spans="1:11" x14ac:dyDescent="0.35">
      <c r="A799" s="204">
        <v>29964</v>
      </c>
      <c r="B799" s="544">
        <v>16.5</v>
      </c>
      <c r="C799">
        <v>17.5</v>
      </c>
      <c r="D799">
        <v>18</v>
      </c>
      <c r="E799">
        <v>18.25</v>
      </c>
      <c r="F799">
        <v>15.25</v>
      </c>
      <c r="H799">
        <v>14.75</v>
      </c>
      <c r="I799">
        <v>13.5</v>
      </c>
      <c r="K799">
        <v>12.75</v>
      </c>
    </row>
    <row r="800" spans="1:11" x14ac:dyDescent="0.35">
      <c r="A800" s="204">
        <v>29971</v>
      </c>
      <c r="B800" s="544">
        <v>16.5</v>
      </c>
      <c r="C800">
        <v>17.5</v>
      </c>
      <c r="D800">
        <v>18</v>
      </c>
      <c r="E800">
        <v>18.25</v>
      </c>
      <c r="F800">
        <v>15.25</v>
      </c>
      <c r="H800">
        <v>14.75</v>
      </c>
      <c r="I800">
        <v>14</v>
      </c>
      <c r="K800">
        <v>12.75</v>
      </c>
    </row>
    <row r="801" spans="1:11" x14ac:dyDescent="0.35">
      <c r="A801" s="204">
        <v>29978</v>
      </c>
      <c r="B801" s="544">
        <v>16.5</v>
      </c>
      <c r="C801">
        <v>17.5</v>
      </c>
      <c r="D801">
        <v>18.5</v>
      </c>
      <c r="E801">
        <v>18.75</v>
      </c>
      <c r="F801">
        <v>15.5</v>
      </c>
      <c r="H801">
        <v>15</v>
      </c>
      <c r="I801">
        <v>14</v>
      </c>
      <c r="K801">
        <v>12.75</v>
      </c>
    </row>
    <row r="802" spans="1:11" x14ac:dyDescent="0.35">
      <c r="A802" s="204">
        <v>29985</v>
      </c>
      <c r="B802" s="544">
        <v>16.5</v>
      </c>
      <c r="C802">
        <v>17.5</v>
      </c>
      <c r="D802">
        <v>18.5</v>
      </c>
      <c r="E802">
        <v>18.75</v>
      </c>
      <c r="F802">
        <v>15.5</v>
      </c>
      <c r="H802">
        <v>15.25</v>
      </c>
      <c r="I802">
        <v>14</v>
      </c>
      <c r="K802">
        <v>12.75</v>
      </c>
    </row>
    <row r="803" spans="1:11" x14ac:dyDescent="0.35">
      <c r="A803" s="204">
        <v>29992</v>
      </c>
      <c r="B803" s="544">
        <v>16.5</v>
      </c>
      <c r="C803">
        <v>17.75</v>
      </c>
      <c r="D803">
        <v>18.75</v>
      </c>
      <c r="E803">
        <v>19</v>
      </c>
      <c r="F803">
        <v>15.5</v>
      </c>
      <c r="H803">
        <v>15.25</v>
      </c>
      <c r="I803">
        <v>14</v>
      </c>
      <c r="K803">
        <v>12.75</v>
      </c>
    </row>
    <row r="804" spans="1:11" x14ac:dyDescent="0.35">
      <c r="A804" s="204">
        <v>29999</v>
      </c>
      <c r="B804" s="544">
        <v>16.5</v>
      </c>
      <c r="C804">
        <v>18.25</v>
      </c>
      <c r="D804">
        <v>18.75</v>
      </c>
      <c r="E804">
        <v>19.5</v>
      </c>
      <c r="F804">
        <v>15.75</v>
      </c>
      <c r="H804">
        <v>15.5</v>
      </c>
      <c r="I804">
        <v>14.25</v>
      </c>
      <c r="K804">
        <v>12.75</v>
      </c>
    </row>
    <row r="805" spans="1:11" x14ac:dyDescent="0.35">
      <c r="A805" s="204">
        <v>30006</v>
      </c>
      <c r="B805" s="544">
        <v>16.5</v>
      </c>
      <c r="C805">
        <v>18.25</v>
      </c>
      <c r="D805">
        <v>19.25</v>
      </c>
      <c r="E805">
        <v>19.5</v>
      </c>
      <c r="F805">
        <v>15.75</v>
      </c>
      <c r="H805">
        <v>15.75</v>
      </c>
      <c r="I805">
        <v>14.25</v>
      </c>
      <c r="K805">
        <v>12.75</v>
      </c>
    </row>
    <row r="806" spans="1:11" x14ac:dyDescent="0.35">
      <c r="A806" s="204">
        <v>30013</v>
      </c>
      <c r="B806" s="544">
        <v>16.5</v>
      </c>
      <c r="C806">
        <v>18.25</v>
      </c>
      <c r="D806">
        <v>19.25</v>
      </c>
      <c r="E806">
        <v>19.5</v>
      </c>
      <c r="F806">
        <v>15.75</v>
      </c>
      <c r="G806">
        <v>17</v>
      </c>
      <c r="H806">
        <v>16</v>
      </c>
      <c r="I806">
        <v>14.25</v>
      </c>
      <c r="K806">
        <v>12.75</v>
      </c>
    </row>
    <row r="807" spans="1:11" x14ac:dyDescent="0.35">
      <c r="A807" s="204">
        <v>30020</v>
      </c>
      <c r="B807" s="544">
        <v>16.5</v>
      </c>
      <c r="C807">
        <v>18.25</v>
      </c>
      <c r="D807">
        <v>19.25</v>
      </c>
      <c r="E807">
        <v>19.5</v>
      </c>
      <c r="F807">
        <v>15.5</v>
      </c>
      <c r="G807">
        <v>16.5</v>
      </c>
      <c r="H807">
        <v>15.25</v>
      </c>
      <c r="I807">
        <v>14.25</v>
      </c>
      <c r="K807">
        <v>12.75</v>
      </c>
    </row>
    <row r="808" spans="1:11" x14ac:dyDescent="0.35">
      <c r="A808" s="204">
        <v>30027</v>
      </c>
      <c r="B808" s="544">
        <v>16.5</v>
      </c>
      <c r="C808">
        <v>18.25</v>
      </c>
      <c r="D808">
        <v>19</v>
      </c>
      <c r="E808">
        <v>19.5</v>
      </c>
      <c r="F808">
        <v>15.25</v>
      </c>
      <c r="G808">
        <v>16.5</v>
      </c>
      <c r="H808">
        <v>15.25</v>
      </c>
      <c r="I808">
        <v>14.25</v>
      </c>
      <c r="K808">
        <v>12.75</v>
      </c>
    </row>
    <row r="809" spans="1:11" x14ac:dyDescent="0.35">
      <c r="A809" s="204">
        <v>30034</v>
      </c>
      <c r="B809" s="544">
        <v>16.5</v>
      </c>
      <c r="C809">
        <v>18.25</v>
      </c>
      <c r="D809">
        <v>19</v>
      </c>
      <c r="E809">
        <v>19.5</v>
      </c>
      <c r="F809">
        <v>15.25</v>
      </c>
      <c r="G809">
        <v>16</v>
      </c>
      <c r="H809">
        <v>15</v>
      </c>
      <c r="I809">
        <v>14.25</v>
      </c>
      <c r="K809">
        <v>12.75</v>
      </c>
    </row>
    <row r="810" spans="1:11" x14ac:dyDescent="0.35">
      <c r="A810" s="204">
        <v>30041</v>
      </c>
      <c r="B810" s="544">
        <v>17</v>
      </c>
      <c r="C810">
        <v>18.25</v>
      </c>
      <c r="D810">
        <v>19</v>
      </c>
      <c r="E810">
        <v>19.5</v>
      </c>
      <c r="F810">
        <v>15.25</v>
      </c>
      <c r="G810">
        <v>16</v>
      </c>
      <c r="H810">
        <v>15.25</v>
      </c>
      <c r="I810">
        <v>14.25</v>
      </c>
      <c r="K810">
        <v>12.75</v>
      </c>
    </row>
    <row r="811" spans="1:11" x14ac:dyDescent="0.35">
      <c r="A811" s="204">
        <v>30048</v>
      </c>
      <c r="B811" s="544">
        <v>17</v>
      </c>
      <c r="C811">
        <v>18.25</v>
      </c>
      <c r="D811">
        <v>19.25</v>
      </c>
      <c r="E811">
        <v>19.5</v>
      </c>
      <c r="F811">
        <v>15.75</v>
      </c>
      <c r="G811">
        <v>16.25</v>
      </c>
      <c r="H811">
        <v>15.25</v>
      </c>
      <c r="I811">
        <v>14</v>
      </c>
      <c r="K811">
        <v>12.75</v>
      </c>
    </row>
    <row r="812" spans="1:11" x14ac:dyDescent="0.35">
      <c r="A812" s="204">
        <v>30055</v>
      </c>
      <c r="B812" s="544">
        <v>17</v>
      </c>
      <c r="C812">
        <v>18.25</v>
      </c>
      <c r="D812">
        <v>19.25</v>
      </c>
      <c r="E812">
        <v>19.5</v>
      </c>
      <c r="F812">
        <v>15.75</v>
      </c>
      <c r="G812">
        <v>16.25</v>
      </c>
      <c r="H812">
        <v>15.25</v>
      </c>
      <c r="I812">
        <v>14.5</v>
      </c>
      <c r="K812">
        <v>12.75</v>
      </c>
    </row>
    <row r="813" spans="1:11" x14ac:dyDescent="0.35">
      <c r="A813" s="204">
        <v>30062</v>
      </c>
      <c r="B813" s="544">
        <v>17</v>
      </c>
      <c r="C813">
        <v>18.25</v>
      </c>
      <c r="D813">
        <v>19.25</v>
      </c>
      <c r="E813">
        <v>19.5</v>
      </c>
      <c r="F813">
        <v>15.75</v>
      </c>
      <c r="G813">
        <v>16.25</v>
      </c>
      <c r="H813">
        <v>15.25</v>
      </c>
      <c r="I813">
        <v>14.5</v>
      </c>
      <c r="K813">
        <v>12.75</v>
      </c>
    </row>
    <row r="814" spans="1:11" x14ac:dyDescent="0.35">
      <c r="A814" s="204">
        <v>30069</v>
      </c>
      <c r="B814" s="544">
        <v>17</v>
      </c>
      <c r="C814">
        <v>18.25</v>
      </c>
      <c r="D814">
        <v>19.25</v>
      </c>
      <c r="E814">
        <v>19.5</v>
      </c>
      <c r="F814">
        <v>15.75</v>
      </c>
      <c r="G814">
        <v>16.25</v>
      </c>
      <c r="H814">
        <v>15.25</v>
      </c>
      <c r="I814">
        <v>14.5</v>
      </c>
      <c r="K814">
        <v>12.75</v>
      </c>
    </row>
    <row r="815" spans="1:11" x14ac:dyDescent="0.35">
      <c r="A815" s="204">
        <v>30076</v>
      </c>
      <c r="B815" s="544">
        <v>17</v>
      </c>
      <c r="C815">
        <v>18.25</v>
      </c>
      <c r="D815">
        <v>19.25</v>
      </c>
      <c r="E815">
        <v>19.5</v>
      </c>
      <c r="F815">
        <v>15.75</v>
      </c>
      <c r="G815">
        <v>16.25</v>
      </c>
      <c r="H815">
        <v>15.25</v>
      </c>
      <c r="I815">
        <v>14.5</v>
      </c>
      <c r="K815">
        <v>12.75</v>
      </c>
    </row>
    <row r="816" spans="1:11" x14ac:dyDescent="0.35">
      <c r="A816" s="204">
        <v>30083</v>
      </c>
      <c r="B816" s="544">
        <v>17</v>
      </c>
      <c r="C816">
        <v>18.25</v>
      </c>
      <c r="D816">
        <v>19.25</v>
      </c>
      <c r="E816">
        <v>19.5</v>
      </c>
      <c r="F816">
        <v>15.5</v>
      </c>
      <c r="G816">
        <v>16</v>
      </c>
      <c r="H816">
        <v>15</v>
      </c>
      <c r="I816">
        <v>14.5</v>
      </c>
      <c r="K816">
        <v>12.75</v>
      </c>
    </row>
    <row r="817" spans="1:11" x14ac:dyDescent="0.35">
      <c r="A817" s="204">
        <v>30090</v>
      </c>
      <c r="B817" s="544">
        <v>17</v>
      </c>
      <c r="C817">
        <v>18.25</v>
      </c>
      <c r="D817">
        <v>19.25</v>
      </c>
      <c r="E817">
        <v>19.5</v>
      </c>
      <c r="F817">
        <v>15.5</v>
      </c>
      <c r="G817">
        <v>16</v>
      </c>
      <c r="H817">
        <v>15</v>
      </c>
      <c r="I817">
        <v>14.5</v>
      </c>
      <c r="K817">
        <v>12.75</v>
      </c>
    </row>
    <row r="818" spans="1:11" x14ac:dyDescent="0.35">
      <c r="A818" s="204">
        <v>30097</v>
      </c>
      <c r="B818" s="544">
        <v>17</v>
      </c>
      <c r="C818">
        <v>18.25</v>
      </c>
      <c r="D818">
        <v>19.25</v>
      </c>
      <c r="E818">
        <v>19.5</v>
      </c>
      <c r="F818">
        <v>15.25</v>
      </c>
      <c r="G818">
        <v>16</v>
      </c>
      <c r="H818">
        <v>14.75</v>
      </c>
      <c r="I818">
        <v>14.5</v>
      </c>
      <c r="K818">
        <v>12.75</v>
      </c>
    </row>
    <row r="819" spans="1:11" x14ac:dyDescent="0.35">
      <c r="A819" s="204">
        <v>30104</v>
      </c>
      <c r="B819" s="544">
        <v>17</v>
      </c>
      <c r="C819">
        <v>18.25</v>
      </c>
      <c r="D819">
        <v>19.25</v>
      </c>
      <c r="E819">
        <v>19.5</v>
      </c>
      <c r="F819">
        <v>15</v>
      </c>
      <c r="G819">
        <v>15.5</v>
      </c>
      <c r="H819">
        <v>14.5</v>
      </c>
      <c r="I819">
        <v>14.25</v>
      </c>
      <c r="K819">
        <v>12.75</v>
      </c>
    </row>
    <row r="820" spans="1:11" x14ac:dyDescent="0.35">
      <c r="A820" s="204">
        <v>30111</v>
      </c>
      <c r="B820" s="544">
        <v>17.5</v>
      </c>
      <c r="C820">
        <v>18.25</v>
      </c>
      <c r="D820">
        <v>19.25</v>
      </c>
      <c r="E820">
        <v>19.5</v>
      </c>
      <c r="F820">
        <v>15</v>
      </c>
      <c r="G820">
        <v>15.5</v>
      </c>
      <c r="H820">
        <v>14.5</v>
      </c>
      <c r="I820">
        <v>14.25</v>
      </c>
      <c r="K820">
        <v>13.25</v>
      </c>
    </row>
    <row r="821" spans="1:11" x14ac:dyDescent="0.35">
      <c r="A821" s="204">
        <v>30118</v>
      </c>
      <c r="B821" s="544">
        <v>17.5</v>
      </c>
      <c r="C821">
        <v>18.25</v>
      </c>
      <c r="D821">
        <v>19.25</v>
      </c>
      <c r="E821">
        <v>19.5</v>
      </c>
      <c r="F821">
        <v>15.5</v>
      </c>
      <c r="G821">
        <v>15.5</v>
      </c>
      <c r="H821">
        <v>14.5</v>
      </c>
      <c r="I821">
        <v>14.25</v>
      </c>
      <c r="K821">
        <v>13.25</v>
      </c>
    </row>
    <row r="822" spans="1:11" x14ac:dyDescent="0.35">
      <c r="A822" s="204">
        <v>30125</v>
      </c>
      <c r="B822" s="544">
        <v>18.25</v>
      </c>
      <c r="C822">
        <v>19</v>
      </c>
      <c r="D822">
        <v>19.5</v>
      </c>
      <c r="E822">
        <v>19.75</v>
      </c>
      <c r="F822">
        <v>16</v>
      </c>
      <c r="G822">
        <v>16</v>
      </c>
      <c r="H822">
        <v>14.5</v>
      </c>
      <c r="I822">
        <v>14.25</v>
      </c>
      <c r="K822">
        <v>13.75</v>
      </c>
    </row>
    <row r="823" spans="1:11" x14ac:dyDescent="0.35">
      <c r="A823" s="204">
        <v>30132</v>
      </c>
      <c r="B823" s="544">
        <v>18.25</v>
      </c>
      <c r="C823">
        <v>19</v>
      </c>
      <c r="D823">
        <v>19.5</v>
      </c>
      <c r="E823">
        <v>19.75</v>
      </c>
      <c r="F823">
        <v>16</v>
      </c>
      <c r="G823">
        <v>15.75</v>
      </c>
      <c r="H823">
        <v>14.5</v>
      </c>
      <c r="I823">
        <v>14.25</v>
      </c>
      <c r="K823">
        <v>13.75</v>
      </c>
    </row>
    <row r="824" spans="1:11" x14ac:dyDescent="0.35">
      <c r="A824" s="204">
        <v>30139</v>
      </c>
      <c r="B824" s="544">
        <v>18.25</v>
      </c>
      <c r="C824">
        <v>19</v>
      </c>
      <c r="D824">
        <v>19.5</v>
      </c>
      <c r="E824">
        <v>19.75</v>
      </c>
      <c r="F824">
        <v>16.5</v>
      </c>
      <c r="G824">
        <v>15.75</v>
      </c>
      <c r="H824">
        <v>14.5</v>
      </c>
      <c r="I824">
        <v>14.25</v>
      </c>
      <c r="K824">
        <v>13.75</v>
      </c>
    </row>
    <row r="825" spans="1:11" x14ac:dyDescent="0.35">
      <c r="A825" s="204">
        <v>30146</v>
      </c>
      <c r="B825" s="544">
        <v>18.25</v>
      </c>
      <c r="C825">
        <v>19</v>
      </c>
      <c r="D825">
        <v>19.5</v>
      </c>
      <c r="E825">
        <v>19.75</v>
      </c>
      <c r="F825">
        <v>16</v>
      </c>
      <c r="G825">
        <v>15.75</v>
      </c>
      <c r="H825">
        <v>14.5</v>
      </c>
      <c r="I825">
        <v>14.25</v>
      </c>
      <c r="K825">
        <v>13.75</v>
      </c>
    </row>
    <row r="826" spans="1:11" x14ac:dyDescent="0.35">
      <c r="A826" s="204">
        <v>30153</v>
      </c>
      <c r="B826" s="544">
        <v>17.75</v>
      </c>
      <c r="C826">
        <v>19</v>
      </c>
      <c r="D826">
        <v>19.5</v>
      </c>
      <c r="E826">
        <v>19.75</v>
      </c>
      <c r="F826">
        <v>16</v>
      </c>
      <c r="G826">
        <v>15.5</v>
      </c>
      <c r="H826">
        <v>14.5</v>
      </c>
      <c r="I826">
        <v>14.25</v>
      </c>
      <c r="K826">
        <v>13.25</v>
      </c>
    </row>
    <row r="827" spans="1:11" x14ac:dyDescent="0.35">
      <c r="A827" s="204">
        <v>30160</v>
      </c>
      <c r="B827" s="544">
        <v>17.25</v>
      </c>
      <c r="C827">
        <v>18.5</v>
      </c>
      <c r="D827">
        <v>19.25</v>
      </c>
      <c r="E827">
        <v>19.25</v>
      </c>
      <c r="F827">
        <v>15.5</v>
      </c>
      <c r="G827">
        <v>15</v>
      </c>
      <c r="H827">
        <v>14.5</v>
      </c>
      <c r="I827">
        <v>14</v>
      </c>
      <c r="K827">
        <v>12.75</v>
      </c>
    </row>
    <row r="828" spans="1:11" x14ac:dyDescent="0.35">
      <c r="A828" s="204">
        <v>30167</v>
      </c>
      <c r="B828" s="544">
        <v>17.25</v>
      </c>
      <c r="C828">
        <v>18.5</v>
      </c>
      <c r="D828">
        <v>19</v>
      </c>
      <c r="E828">
        <v>19.25</v>
      </c>
      <c r="F828">
        <v>15.25</v>
      </c>
      <c r="G828">
        <v>15</v>
      </c>
      <c r="H828">
        <v>14.5</v>
      </c>
      <c r="I828">
        <v>14</v>
      </c>
      <c r="K828">
        <v>12.75</v>
      </c>
    </row>
    <row r="829" spans="1:11" x14ac:dyDescent="0.35">
      <c r="A829" s="204">
        <v>30174</v>
      </c>
      <c r="B829" s="544">
        <v>17</v>
      </c>
      <c r="C829">
        <v>18.5</v>
      </c>
      <c r="D829">
        <v>19</v>
      </c>
      <c r="E829">
        <v>19.25</v>
      </c>
      <c r="F829">
        <v>15</v>
      </c>
      <c r="G829">
        <v>14.75</v>
      </c>
      <c r="H829">
        <v>14.5</v>
      </c>
      <c r="I829">
        <v>14</v>
      </c>
      <c r="K829">
        <v>12.5</v>
      </c>
    </row>
    <row r="830" spans="1:11" x14ac:dyDescent="0.35">
      <c r="A830" s="204">
        <v>30181</v>
      </c>
      <c r="B830" s="544">
        <v>17</v>
      </c>
      <c r="C830">
        <v>18</v>
      </c>
      <c r="D830">
        <v>18.75</v>
      </c>
      <c r="E830">
        <v>19.25</v>
      </c>
      <c r="F830">
        <v>14.5</v>
      </c>
      <c r="G830">
        <v>14.25</v>
      </c>
      <c r="H830">
        <v>14</v>
      </c>
      <c r="I830">
        <v>14</v>
      </c>
      <c r="K830">
        <v>12.5</v>
      </c>
    </row>
    <row r="831" spans="1:11" x14ac:dyDescent="0.35">
      <c r="A831" s="204">
        <v>30188</v>
      </c>
      <c r="B831" s="544">
        <v>16</v>
      </c>
      <c r="C831">
        <v>17.5</v>
      </c>
      <c r="D831">
        <v>18.25</v>
      </c>
      <c r="E831">
        <v>18.25</v>
      </c>
      <c r="F831">
        <v>14</v>
      </c>
      <c r="G831">
        <v>13.25</v>
      </c>
      <c r="H831">
        <v>13</v>
      </c>
      <c r="I831">
        <v>13</v>
      </c>
      <c r="K831">
        <v>11.5</v>
      </c>
    </row>
    <row r="832" spans="1:11" x14ac:dyDescent="0.35">
      <c r="A832" s="204">
        <v>30195</v>
      </c>
      <c r="B832" s="544">
        <v>16</v>
      </c>
      <c r="C832">
        <v>17.5</v>
      </c>
      <c r="D832">
        <v>18.25</v>
      </c>
      <c r="E832">
        <v>17.75</v>
      </c>
      <c r="F832">
        <v>13.5</v>
      </c>
      <c r="G832">
        <v>13.25</v>
      </c>
      <c r="H832">
        <v>13</v>
      </c>
      <c r="I832">
        <v>13</v>
      </c>
      <c r="K832">
        <v>11.5</v>
      </c>
    </row>
    <row r="833" spans="1:11" x14ac:dyDescent="0.35">
      <c r="A833" s="204">
        <v>30202</v>
      </c>
      <c r="B833" s="544">
        <v>15.5</v>
      </c>
      <c r="C833">
        <v>17.5</v>
      </c>
      <c r="D833">
        <v>18.25</v>
      </c>
      <c r="E833">
        <v>17.75</v>
      </c>
      <c r="F833">
        <v>13.5</v>
      </c>
      <c r="G833">
        <v>13.25</v>
      </c>
      <c r="H833">
        <v>13</v>
      </c>
      <c r="I833">
        <v>12.5</v>
      </c>
      <c r="K833">
        <v>11</v>
      </c>
    </row>
    <row r="834" spans="1:11" x14ac:dyDescent="0.35">
      <c r="A834" s="204">
        <v>30209</v>
      </c>
      <c r="B834" s="544">
        <v>15.5</v>
      </c>
      <c r="C834">
        <v>17.5</v>
      </c>
      <c r="D834">
        <v>18.25</v>
      </c>
      <c r="E834">
        <v>17.75</v>
      </c>
      <c r="F834">
        <v>13.5</v>
      </c>
      <c r="G834">
        <v>13.25</v>
      </c>
      <c r="H834">
        <v>13</v>
      </c>
      <c r="I834">
        <v>12.75</v>
      </c>
      <c r="K834">
        <v>11</v>
      </c>
    </row>
    <row r="835" spans="1:11" x14ac:dyDescent="0.35">
      <c r="A835" s="204">
        <v>30216</v>
      </c>
      <c r="B835" s="544">
        <v>15.5</v>
      </c>
      <c r="C835">
        <v>16.75</v>
      </c>
      <c r="D835">
        <v>17.75</v>
      </c>
      <c r="E835">
        <v>17.75</v>
      </c>
      <c r="F835">
        <v>13.5</v>
      </c>
      <c r="G835">
        <v>13</v>
      </c>
      <c r="H835">
        <v>13</v>
      </c>
      <c r="I835">
        <v>12.75</v>
      </c>
      <c r="K835">
        <v>11</v>
      </c>
    </row>
    <row r="836" spans="1:11" x14ac:dyDescent="0.35">
      <c r="A836" s="204">
        <v>30223</v>
      </c>
      <c r="B836" s="544">
        <v>15</v>
      </c>
      <c r="C836">
        <v>16.75</v>
      </c>
      <c r="D836">
        <v>17.75</v>
      </c>
      <c r="E836">
        <v>17.25</v>
      </c>
      <c r="F836">
        <v>13</v>
      </c>
      <c r="G836">
        <v>13</v>
      </c>
      <c r="H836">
        <v>12.75</v>
      </c>
      <c r="I836">
        <v>12.25</v>
      </c>
      <c r="K836">
        <v>10.5</v>
      </c>
    </row>
    <row r="837" spans="1:11" x14ac:dyDescent="0.35">
      <c r="A837" s="204">
        <v>30230</v>
      </c>
      <c r="B837" s="544">
        <v>15</v>
      </c>
      <c r="C837">
        <v>16.75</v>
      </c>
      <c r="D837">
        <v>17.25</v>
      </c>
      <c r="E837">
        <v>17.25</v>
      </c>
      <c r="F837">
        <v>12.5</v>
      </c>
      <c r="G837">
        <v>12.25</v>
      </c>
      <c r="H837">
        <v>12.25</v>
      </c>
      <c r="I837">
        <v>12.25</v>
      </c>
      <c r="K837">
        <v>10.5</v>
      </c>
    </row>
    <row r="838" spans="1:11" x14ac:dyDescent="0.35">
      <c r="A838" s="204">
        <v>30237</v>
      </c>
      <c r="B838" s="544">
        <v>14.5</v>
      </c>
      <c r="C838">
        <v>15.25</v>
      </c>
      <c r="D838">
        <v>16.25</v>
      </c>
      <c r="E838">
        <v>16.5</v>
      </c>
      <c r="F838">
        <v>12</v>
      </c>
      <c r="G838">
        <v>11.75</v>
      </c>
      <c r="H838">
        <v>11.75</v>
      </c>
      <c r="I838">
        <v>11.25</v>
      </c>
      <c r="K838">
        <v>10</v>
      </c>
    </row>
    <row r="839" spans="1:11" x14ac:dyDescent="0.35">
      <c r="A839" s="204">
        <v>30244</v>
      </c>
      <c r="B839" s="544">
        <v>13.75</v>
      </c>
      <c r="C839">
        <v>14.25</v>
      </c>
      <c r="D839">
        <v>15.5</v>
      </c>
      <c r="E839">
        <v>16</v>
      </c>
      <c r="F839">
        <v>11.5</v>
      </c>
      <c r="G839">
        <v>11.5</v>
      </c>
      <c r="H839">
        <v>11.5</v>
      </c>
      <c r="I839">
        <v>11</v>
      </c>
      <c r="K839">
        <v>9.25</v>
      </c>
    </row>
    <row r="840" spans="1:11" x14ac:dyDescent="0.35">
      <c r="A840" s="204">
        <v>30251</v>
      </c>
      <c r="B840" s="544">
        <v>13.75</v>
      </c>
      <c r="C840">
        <v>14.25</v>
      </c>
      <c r="D840">
        <v>15.25</v>
      </c>
      <c r="E840">
        <v>15.75</v>
      </c>
      <c r="F840">
        <v>11.5</v>
      </c>
      <c r="G840">
        <v>11.5</v>
      </c>
      <c r="H840">
        <v>11.5</v>
      </c>
      <c r="I840">
        <v>11</v>
      </c>
      <c r="K840">
        <v>9.25</v>
      </c>
    </row>
    <row r="841" spans="1:11" x14ac:dyDescent="0.35">
      <c r="A841" s="204">
        <v>30258</v>
      </c>
      <c r="B841" s="544">
        <v>13.75</v>
      </c>
      <c r="C841">
        <v>14.25</v>
      </c>
      <c r="D841">
        <v>15.25</v>
      </c>
      <c r="E841">
        <v>15.75</v>
      </c>
      <c r="F841">
        <v>11.25</v>
      </c>
      <c r="G841">
        <v>11.75</v>
      </c>
      <c r="H841">
        <v>11.5</v>
      </c>
      <c r="I841">
        <v>11</v>
      </c>
      <c r="K841">
        <v>9.25</v>
      </c>
    </row>
    <row r="842" spans="1:11" x14ac:dyDescent="0.35">
      <c r="A842" s="204">
        <v>30265</v>
      </c>
      <c r="B842" s="544">
        <v>13.75</v>
      </c>
      <c r="C842">
        <v>14.25</v>
      </c>
      <c r="D842">
        <v>15.25</v>
      </c>
      <c r="E842">
        <v>15.75</v>
      </c>
      <c r="F842">
        <v>11.25</v>
      </c>
      <c r="G842">
        <v>11.75</v>
      </c>
      <c r="H842">
        <v>11.5</v>
      </c>
      <c r="I842">
        <v>11</v>
      </c>
      <c r="K842">
        <v>9.25</v>
      </c>
    </row>
    <row r="843" spans="1:11" x14ac:dyDescent="0.35">
      <c r="A843" s="204">
        <v>30272</v>
      </c>
      <c r="B843" s="544">
        <v>13</v>
      </c>
      <c r="C843">
        <v>13.5</v>
      </c>
      <c r="D843">
        <v>14.5</v>
      </c>
      <c r="E843">
        <v>14.75</v>
      </c>
      <c r="F843">
        <v>10.75</v>
      </c>
      <c r="G843">
        <v>11.25</v>
      </c>
      <c r="H843">
        <v>11</v>
      </c>
      <c r="I843">
        <v>10</v>
      </c>
      <c r="K843">
        <v>8.5</v>
      </c>
    </row>
    <row r="844" spans="1:11" x14ac:dyDescent="0.35">
      <c r="A844" s="204">
        <v>30279</v>
      </c>
      <c r="B844" s="544">
        <v>13</v>
      </c>
      <c r="C844">
        <v>13.25</v>
      </c>
      <c r="D844">
        <v>14.5</v>
      </c>
      <c r="E844">
        <v>14.75</v>
      </c>
      <c r="F844">
        <v>10.75</v>
      </c>
      <c r="G844">
        <v>11.25</v>
      </c>
      <c r="H844">
        <v>11</v>
      </c>
      <c r="I844">
        <v>10</v>
      </c>
      <c r="K844">
        <v>8.5</v>
      </c>
    </row>
    <row r="845" spans="1:11" x14ac:dyDescent="0.35">
      <c r="A845" s="204">
        <v>30286</v>
      </c>
      <c r="B845" s="544">
        <v>13</v>
      </c>
      <c r="C845">
        <v>13</v>
      </c>
      <c r="D845">
        <v>14.25</v>
      </c>
      <c r="E845">
        <v>14.5</v>
      </c>
      <c r="F845">
        <v>10.75</v>
      </c>
      <c r="G845">
        <v>11</v>
      </c>
      <c r="H845">
        <v>11</v>
      </c>
      <c r="I845">
        <v>10</v>
      </c>
      <c r="K845">
        <v>8.5</v>
      </c>
    </row>
    <row r="846" spans="1:11" x14ac:dyDescent="0.35">
      <c r="A846" s="204">
        <v>30293</v>
      </c>
      <c r="B846" s="544">
        <v>13</v>
      </c>
      <c r="C846">
        <v>13</v>
      </c>
      <c r="D846">
        <v>14.25</v>
      </c>
      <c r="E846">
        <v>14.5</v>
      </c>
      <c r="F846">
        <v>10.75</v>
      </c>
      <c r="G846">
        <v>11</v>
      </c>
      <c r="H846">
        <v>11</v>
      </c>
      <c r="I846">
        <v>10</v>
      </c>
      <c r="K846">
        <v>8.5</v>
      </c>
    </row>
    <row r="847" spans="1:11" x14ac:dyDescent="0.35">
      <c r="A847" s="204">
        <v>30300</v>
      </c>
      <c r="B847" s="544">
        <v>13</v>
      </c>
      <c r="C847">
        <v>13</v>
      </c>
      <c r="D847">
        <v>14.25</v>
      </c>
      <c r="E847">
        <v>14.75</v>
      </c>
      <c r="F847">
        <v>10.5</v>
      </c>
      <c r="G847">
        <v>10.75</v>
      </c>
      <c r="H847">
        <v>11</v>
      </c>
      <c r="I847">
        <v>10</v>
      </c>
      <c r="K847">
        <v>8.5</v>
      </c>
    </row>
    <row r="848" spans="1:11" x14ac:dyDescent="0.35">
      <c r="A848" s="204">
        <v>30307</v>
      </c>
      <c r="B848" s="544">
        <v>12.5</v>
      </c>
      <c r="C848">
        <v>12.5</v>
      </c>
      <c r="D848">
        <v>14.25</v>
      </c>
      <c r="E848">
        <v>14.75</v>
      </c>
      <c r="F848">
        <v>10</v>
      </c>
      <c r="G848">
        <v>10.25</v>
      </c>
      <c r="H848">
        <v>10.5</v>
      </c>
      <c r="I848">
        <v>9.25</v>
      </c>
      <c r="K848">
        <v>8</v>
      </c>
    </row>
    <row r="849" spans="1:11" x14ac:dyDescent="0.35">
      <c r="A849" s="204">
        <v>30314</v>
      </c>
      <c r="B849" s="544">
        <v>12.5</v>
      </c>
      <c r="C849">
        <v>12.5</v>
      </c>
      <c r="D849">
        <v>14.25</v>
      </c>
      <c r="E849">
        <v>14.75</v>
      </c>
      <c r="F849">
        <v>10</v>
      </c>
      <c r="G849">
        <v>10.25</v>
      </c>
      <c r="H849">
        <v>10.5</v>
      </c>
      <c r="I849">
        <v>9.25</v>
      </c>
      <c r="K849">
        <v>8</v>
      </c>
    </row>
    <row r="850" spans="1:11" x14ac:dyDescent="0.35">
      <c r="A850" s="204">
        <v>30321</v>
      </c>
      <c r="B850" s="544">
        <v>12</v>
      </c>
      <c r="C850">
        <v>12.5</v>
      </c>
      <c r="D850">
        <v>14</v>
      </c>
      <c r="E850">
        <v>14.75</v>
      </c>
      <c r="F850">
        <v>10</v>
      </c>
      <c r="G850">
        <v>10.25</v>
      </c>
      <c r="H850">
        <v>10.5</v>
      </c>
      <c r="I850">
        <v>9.25</v>
      </c>
      <c r="K850">
        <v>8</v>
      </c>
    </row>
    <row r="851" spans="1:11" x14ac:dyDescent="0.35">
      <c r="A851" s="204">
        <v>30328</v>
      </c>
      <c r="B851" s="544">
        <v>12</v>
      </c>
      <c r="C851">
        <v>12</v>
      </c>
      <c r="D851">
        <v>12.75</v>
      </c>
      <c r="E851">
        <v>13.5</v>
      </c>
      <c r="F851">
        <v>9.5</v>
      </c>
      <c r="G851">
        <v>10</v>
      </c>
      <c r="H851">
        <v>10.75</v>
      </c>
      <c r="I851">
        <v>9</v>
      </c>
      <c r="K851">
        <v>7.5</v>
      </c>
    </row>
    <row r="852" spans="1:11" x14ac:dyDescent="0.35">
      <c r="A852" s="204">
        <v>30335</v>
      </c>
      <c r="B852" s="544">
        <v>12</v>
      </c>
      <c r="C852">
        <v>11.75</v>
      </c>
      <c r="D852">
        <v>12.75</v>
      </c>
      <c r="E852">
        <v>13.5</v>
      </c>
      <c r="F852">
        <v>9.5</v>
      </c>
      <c r="G852">
        <v>10</v>
      </c>
      <c r="H852">
        <v>11</v>
      </c>
      <c r="I852">
        <v>8.75</v>
      </c>
      <c r="K852">
        <v>7.5</v>
      </c>
    </row>
    <row r="853" spans="1:11" x14ac:dyDescent="0.35">
      <c r="A853" s="204">
        <v>30342</v>
      </c>
      <c r="B853" s="544">
        <v>12</v>
      </c>
      <c r="C853">
        <v>11.75</v>
      </c>
      <c r="D853">
        <v>12.75</v>
      </c>
      <c r="E853">
        <v>13.5</v>
      </c>
      <c r="F853">
        <v>9.5</v>
      </c>
      <c r="G853">
        <v>10.5</v>
      </c>
      <c r="H853">
        <v>11</v>
      </c>
      <c r="I853">
        <v>8.75</v>
      </c>
      <c r="K853">
        <v>7.5</v>
      </c>
    </row>
    <row r="854" spans="1:11" x14ac:dyDescent="0.35">
      <c r="A854" s="204">
        <v>30349</v>
      </c>
      <c r="B854" s="544">
        <v>12</v>
      </c>
      <c r="C854">
        <v>11.75</v>
      </c>
      <c r="D854">
        <v>12.75</v>
      </c>
      <c r="E854">
        <v>13.5</v>
      </c>
      <c r="F854">
        <v>9.5</v>
      </c>
      <c r="G854">
        <v>10.5</v>
      </c>
      <c r="H854">
        <v>11.25</v>
      </c>
      <c r="I854">
        <v>8.75</v>
      </c>
      <c r="K854">
        <v>7.5</v>
      </c>
    </row>
    <row r="855" spans="1:11" x14ac:dyDescent="0.35">
      <c r="A855" s="204">
        <v>30356</v>
      </c>
      <c r="B855" s="544">
        <v>12</v>
      </c>
      <c r="C855">
        <v>11.75</v>
      </c>
      <c r="D855">
        <v>12.75</v>
      </c>
      <c r="E855">
        <v>13.5</v>
      </c>
      <c r="F855">
        <v>9.5</v>
      </c>
      <c r="G855">
        <v>10.5</v>
      </c>
      <c r="H855">
        <v>11.25</v>
      </c>
      <c r="I855">
        <v>8.75</v>
      </c>
      <c r="K855">
        <v>7.5</v>
      </c>
    </row>
    <row r="856" spans="1:11" x14ac:dyDescent="0.35">
      <c r="A856" s="204">
        <v>30363</v>
      </c>
      <c r="B856" s="544">
        <v>12</v>
      </c>
      <c r="C856">
        <v>11.75</v>
      </c>
      <c r="D856">
        <v>12.75</v>
      </c>
      <c r="E856">
        <v>13.5</v>
      </c>
      <c r="F856">
        <v>9.5</v>
      </c>
      <c r="G856">
        <v>10.5</v>
      </c>
      <c r="H856">
        <v>11.25</v>
      </c>
      <c r="I856">
        <v>8.75</v>
      </c>
      <c r="K856">
        <v>7.5</v>
      </c>
    </row>
    <row r="857" spans="1:11" x14ac:dyDescent="0.35">
      <c r="A857" s="204">
        <v>30370</v>
      </c>
      <c r="B857" s="544">
        <v>11.5</v>
      </c>
      <c r="C857">
        <v>11.75</v>
      </c>
      <c r="D857">
        <v>12.75</v>
      </c>
      <c r="E857">
        <v>13.5</v>
      </c>
      <c r="F857">
        <v>9.5</v>
      </c>
      <c r="G857">
        <v>10.5</v>
      </c>
      <c r="H857">
        <v>11.25</v>
      </c>
      <c r="I857">
        <v>8.5</v>
      </c>
      <c r="K857">
        <v>7</v>
      </c>
    </row>
    <row r="858" spans="1:11" x14ac:dyDescent="0.35">
      <c r="A858" s="204">
        <v>30377</v>
      </c>
      <c r="B858" s="544">
        <v>11.5</v>
      </c>
      <c r="C858">
        <v>11.75</v>
      </c>
      <c r="D858">
        <v>12.75</v>
      </c>
      <c r="E858">
        <v>13.5</v>
      </c>
      <c r="F858">
        <v>9.5</v>
      </c>
      <c r="G858">
        <v>10.75</v>
      </c>
      <c r="H858">
        <v>11.25</v>
      </c>
      <c r="I858">
        <v>8.5</v>
      </c>
      <c r="K858">
        <v>7</v>
      </c>
    </row>
    <row r="859" spans="1:11" x14ac:dyDescent="0.35">
      <c r="A859" s="204">
        <v>30384</v>
      </c>
      <c r="B859" s="544">
        <v>11.5</v>
      </c>
      <c r="C859">
        <v>11.75</v>
      </c>
      <c r="D859">
        <v>12.75</v>
      </c>
      <c r="E859">
        <v>13.5</v>
      </c>
      <c r="F859">
        <v>9</v>
      </c>
      <c r="G859">
        <v>10.75</v>
      </c>
      <c r="H859">
        <v>11.25</v>
      </c>
      <c r="I859">
        <v>8.5</v>
      </c>
      <c r="K859">
        <v>7</v>
      </c>
    </row>
    <row r="860" spans="1:11" x14ac:dyDescent="0.35">
      <c r="A860" s="204">
        <v>30391</v>
      </c>
      <c r="B860" s="544">
        <v>11.5</v>
      </c>
      <c r="C860">
        <v>11.75</v>
      </c>
      <c r="D860">
        <v>12.75</v>
      </c>
      <c r="E860">
        <v>13.5</v>
      </c>
      <c r="F860">
        <v>9</v>
      </c>
      <c r="G860">
        <v>10.75</v>
      </c>
      <c r="H860">
        <v>11.25</v>
      </c>
      <c r="I860">
        <v>8.5</v>
      </c>
      <c r="K860">
        <v>7</v>
      </c>
    </row>
    <row r="861" spans="1:11" x14ac:dyDescent="0.35">
      <c r="A861" s="204">
        <v>30398</v>
      </c>
      <c r="B861" s="544">
        <v>11.5</v>
      </c>
      <c r="C861">
        <v>11.5</v>
      </c>
      <c r="D861">
        <v>12.75</v>
      </c>
      <c r="E861">
        <v>13.5</v>
      </c>
      <c r="F861">
        <v>9</v>
      </c>
      <c r="G861">
        <v>10.75</v>
      </c>
      <c r="H861">
        <v>11.25</v>
      </c>
      <c r="I861">
        <v>8.5</v>
      </c>
      <c r="K861">
        <v>7</v>
      </c>
    </row>
    <row r="862" spans="1:11" x14ac:dyDescent="0.35">
      <c r="A862" s="204">
        <v>30405</v>
      </c>
      <c r="B862" s="544">
        <v>11.5</v>
      </c>
      <c r="C862">
        <v>11.25</v>
      </c>
      <c r="D862">
        <v>12.75</v>
      </c>
      <c r="E862">
        <v>13.5</v>
      </c>
      <c r="F862">
        <v>9</v>
      </c>
      <c r="G862">
        <v>10.75</v>
      </c>
      <c r="H862">
        <v>11.25</v>
      </c>
      <c r="I862">
        <v>8</v>
      </c>
      <c r="K862">
        <v>7</v>
      </c>
    </row>
    <row r="863" spans="1:11" x14ac:dyDescent="0.35">
      <c r="A863" s="204">
        <v>30412</v>
      </c>
      <c r="B863" s="544">
        <v>11.5</v>
      </c>
      <c r="C863">
        <v>11.25</v>
      </c>
      <c r="D863">
        <v>12.75</v>
      </c>
      <c r="E863">
        <v>13.5</v>
      </c>
      <c r="F863">
        <v>9</v>
      </c>
      <c r="G863">
        <v>10.75</v>
      </c>
      <c r="H863">
        <v>11.25</v>
      </c>
      <c r="I863">
        <v>8</v>
      </c>
      <c r="K863">
        <v>7</v>
      </c>
    </row>
    <row r="864" spans="1:11" x14ac:dyDescent="0.35">
      <c r="A864" s="204">
        <v>30419</v>
      </c>
      <c r="B864" s="544">
        <v>11.5</v>
      </c>
      <c r="C864">
        <v>11.25</v>
      </c>
      <c r="D864">
        <v>12.75</v>
      </c>
      <c r="E864">
        <v>13.5</v>
      </c>
      <c r="F864">
        <v>9</v>
      </c>
      <c r="G864">
        <v>10.75</v>
      </c>
      <c r="H864">
        <v>11.25</v>
      </c>
      <c r="I864">
        <v>8</v>
      </c>
      <c r="K864">
        <v>7</v>
      </c>
    </row>
    <row r="865" spans="1:11" x14ac:dyDescent="0.35">
      <c r="A865" s="204">
        <v>30426</v>
      </c>
      <c r="B865" s="544">
        <v>11</v>
      </c>
      <c r="C865">
        <v>11.25</v>
      </c>
      <c r="D865">
        <v>12.75</v>
      </c>
      <c r="E865">
        <v>13.25</v>
      </c>
      <c r="F865">
        <v>8.5</v>
      </c>
      <c r="G865">
        <v>10.75</v>
      </c>
      <c r="H865">
        <v>11.25</v>
      </c>
      <c r="I865">
        <v>8</v>
      </c>
      <c r="K865">
        <v>6.75</v>
      </c>
    </row>
    <row r="866" spans="1:11" x14ac:dyDescent="0.35">
      <c r="A866" s="204">
        <v>30433</v>
      </c>
      <c r="B866" s="544">
        <v>11</v>
      </c>
      <c r="C866">
        <v>11</v>
      </c>
      <c r="D866">
        <v>12.5</v>
      </c>
      <c r="E866">
        <v>13.25</v>
      </c>
      <c r="F866">
        <v>8.5</v>
      </c>
      <c r="G866">
        <v>10.75</v>
      </c>
      <c r="H866">
        <v>11.25</v>
      </c>
      <c r="I866">
        <v>8</v>
      </c>
      <c r="K866">
        <v>6.75</v>
      </c>
    </row>
    <row r="867" spans="1:11" x14ac:dyDescent="0.35">
      <c r="A867" s="204">
        <v>30440</v>
      </c>
      <c r="B867" s="544">
        <v>11</v>
      </c>
      <c r="C867">
        <v>11</v>
      </c>
      <c r="D867">
        <v>12.5</v>
      </c>
      <c r="E867">
        <v>13.25</v>
      </c>
      <c r="F867">
        <v>8.5</v>
      </c>
      <c r="G867">
        <v>10.75</v>
      </c>
      <c r="H867">
        <v>11.25</v>
      </c>
      <c r="I867">
        <v>8</v>
      </c>
      <c r="K867">
        <v>6.75</v>
      </c>
    </row>
    <row r="868" spans="1:11" x14ac:dyDescent="0.35">
      <c r="A868" s="204">
        <v>30447</v>
      </c>
      <c r="B868" s="544">
        <v>11</v>
      </c>
      <c r="C868">
        <v>11</v>
      </c>
      <c r="D868">
        <v>12.5</v>
      </c>
      <c r="E868">
        <v>13.25</v>
      </c>
      <c r="F868">
        <v>8.5</v>
      </c>
      <c r="G868">
        <v>10.75</v>
      </c>
      <c r="H868">
        <v>11.25</v>
      </c>
      <c r="I868">
        <v>8</v>
      </c>
      <c r="K868">
        <v>6.75</v>
      </c>
    </row>
    <row r="869" spans="1:11" x14ac:dyDescent="0.35">
      <c r="A869" s="204">
        <v>30454</v>
      </c>
      <c r="B869" s="544">
        <v>11</v>
      </c>
      <c r="C869">
        <v>11</v>
      </c>
      <c r="D869">
        <v>12.5</v>
      </c>
      <c r="E869">
        <v>13</v>
      </c>
      <c r="F869">
        <v>8.5</v>
      </c>
      <c r="G869">
        <v>10.5</v>
      </c>
      <c r="H869">
        <v>11</v>
      </c>
      <c r="I869">
        <v>8</v>
      </c>
      <c r="K869">
        <v>6.75</v>
      </c>
    </row>
    <row r="870" spans="1:11" x14ac:dyDescent="0.35">
      <c r="A870" s="204">
        <v>30461</v>
      </c>
      <c r="B870" s="544">
        <v>11</v>
      </c>
      <c r="C870">
        <v>11</v>
      </c>
      <c r="D870">
        <v>12.5</v>
      </c>
      <c r="E870">
        <v>13</v>
      </c>
      <c r="F870">
        <v>8.5</v>
      </c>
      <c r="G870">
        <v>10.5</v>
      </c>
      <c r="H870">
        <v>11</v>
      </c>
      <c r="I870">
        <v>8</v>
      </c>
      <c r="K870">
        <v>6.75</v>
      </c>
    </row>
    <row r="871" spans="1:11" x14ac:dyDescent="0.35">
      <c r="A871" s="204">
        <v>30468</v>
      </c>
      <c r="B871" s="544">
        <v>11</v>
      </c>
      <c r="C871">
        <v>11</v>
      </c>
      <c r="D871">
        <v>12.5</v>
      </c>
      <c r="E871">
        <v>13</v>
      </c>
      <c r="F871">
        <v>8.5</v>
      </c>
      <c r="G871">
        <v>10.5</v>
      </c>
      <c r="H871">
        <v>11</v>
      </c>
      <c r="I871">
        <v>8</v>
      </c>
      <c r="K871">
        <v>6.75</v>
      </c>
    </row>
    <row r="872" spans="1:11" x14ac:dyDescent="0.35">
      <c r="A872" s="204">
        <v>30475</v>
      </c>
      <c r="B872" s="544">
        <v>11</v>
      </c>
      <c r="C872">
        <v>11</v>
      </c>
      <c r="D872">
        <v>12.5</v>
      </c>
      <c r="E872">
        <v>13</v>
      </c>
      <c r="F872">
        <v>8.5</v>
      </c>
      <c r="G872">
        <v>10.5</v>
      </c>
      <c r="H872">
        <v>11</v>
      </c>
      <c r="I872">
        <v>8</v>
      </c>
      <c r="K872">
        <v>6.75</v>
      </c>
    </row>
    <row r="873" spans="1:11" x14ac:dyDescent="0.35">
      <c r="A873" s="204">
        <v>30482</v>
      </c>
      <c r="B873" s="544">
        <v>11</v>
      </c>
      <c r="C873">
        <v>11</v>
      </c>
      <c r="D873">
        <v>12.5</v>
      </c>
      <c r="E873">
        <v>13</v>
      </c>
      <c r="F873">
        <v>8.75</v>
      </c>
      <c r="G873">
        <v>10.75</v>
      </c>
      <c r="H873">
        <v>11.25</v>
      </c>
      <c r="I873">
        <v>8</v>
      </c>
      <c r="K873">
        <v>6.75</v>
      </c>
    </row>
    <row r="874" spans="1:11" x14ac:dyDescent="0.35">
      <c r="A874" s="204">
        <v>30489</v>
      </c>
      <c r="B874" s="544">
        <v>11</v>
      </c>
      <c r="C874">
        <v>11</v>
      </c>
      <c r="D874">
        <v>12.5</v>
      </c>
      <c r="E874">
        <v>13</v>
      </c>
      <c r="F874">
        <v>8.75</v>
      </c>
      <c r="G874">
        <v>10.75</v>
      </c>
      <c r="H874">
        <v>11.25</v>
      </c>
      <c r="I874">
        <v>8.5</v>
      </c>
      <c r="K874">
        <v>6.75</v>
      </c>
    </row>
    <row r="875" spans="1:11" x14ac:dyDescent="0.35">
      <c r="A875" s="204">
        <v>30496</v>
      </c>
      <c r="B875" s="544">
        <v>11</v>
      </c>
      <c r="C875">
        <v>11</v>
      </c>
      <c r="D875">
        <v>12.5</v>
      </c>
      <c r="E875">
        <v>13</v>
      </c>
      <c r="F875">
        <v>8.75</v>
      </c>
      <c r="G875">
        <v>10.75</v>
      </c>
      <c r="H875">
        <v>11.25</v>
      </c>
      <c r="I875">
        <v>8.5</v>
      </c>
      <c r="K875">
        <v>6.75</v>
      </c>
    </row>
    <row r="876" spans="1:11" x14ac:dyDescent="0.35">
      <c r="A876" s="204">
        <v>30503</v>
      </c>
      <c r="B876" s="544">
        <v>11</v>
      </c>
      <c r="C876">
        <v>11</v>
      </c>
      <c r="D876">
        <v>12.5</v>
      </c>
      <c r="E876">
        <v>13</v>
      </c>
      <c r="F876">
        <v>8.75</v>
      </c>
      <c r="G876">
        <v>10.75</v>
      </c>
      <c r="H876">
        <v>11.25</v>
      </c>
      <c r="I876">
        <v>8.5</v>
      </c>
      <c r="K876">
        <v>6.75</v>
      </c>
    </row>
    <row r="877" spans="1:11" x14ac:dyDescent="0.35">
      <c r="A877" s="204">
        <v>30510</v>
      </c>
      <c r="B877" s="544">
        <v>11</v>
      </c>
      <c r="C877">
        <v>11</v>
      </c>
      <c r="D877">
        <v>12.25</v>
      </c>
      <c r="E877">
        <v>13</v>
      </c>
      <c r="F877">
        <v>8.75</v>
      </c>
      <c r="G877">
        <v>10.75</v>
      </c>
      <c r="H877">
        <v>11.25</v>
      </c>
      <c r="I877">
        <v>8.5</v>
      </c>
      <c r="K877">
        <v>6.75</v>
      </c>
    </row>
    <row r="878" spans="1:11" x14ac:dyDescent="0.35">
      <c r="A878" s="204">
        <v>30517</v>
      </c>
      <c r="B878" s="544">
        <v>11</v>
      </c>
      <c r="C878">
        <v>11</v>
      </c>
      <c r="D878">
        <v>12.5</v>
      </c>
      <c r="E878">
        <v>13</v>
      </c>
      <c r="F878">
        <v>8.75</v>
      </c>
      <c r="G878">
        <v>10.75</v>
      </c>
      <c r="H878">
        <v>11.25</v>
      </c>
      <c r="I878">
        <v>8.5</v>
      </c>
      <c r="K878">
        <v>6.75</v>
      </c>
    </row>
    <row r="879" spans="1:11" x14ac:dyDescent="0.35">
      <c r="A879" s="204">
        <v>30524</v>
      </c>
      <c r="B879" s="544">
        <v>11</v>
      </c>
      <c r="C879">
        <v>11</v>
      </c>
      <c r="D879">
        <v>12.75</v>
      </c>
      <c r="E879">
        <v>13.5</v>
      </c>
      <c r="F879">
        <v>8.75</v>
      </c>
      <c r="G879">
        <v>10.75</v>
      </c>
      <c r="H879">
        <v>11.5</v>
      </c>
      <c r="I879">
        <v>8.5</v>
      </c>
      <c r="K879">
        <v>6.75</v>
      </c>
    </row>
    <row r="880" spans="1:11" x14ac:dyDescent="0.35">
      <c r="A880" s="204">
        <v>30531</v>
      </c>
      <c r="B880" s="544">
        <v>11</v>
      </c>
      <c r="C880">
        <v>11</v>
      </c>
      <c r="D880">
        <v>12.75</v>
      </c>
      <c r="E880">
        <v>13.5</v>
      </c>
      <c r="F880">
        <v>9</v>
      </c>
      <c r="G880">
        <v>11</v>
      </c>
      <c r="H880">
        <v>11.75</v>
      </c>
      <c r="I880">
        <v>8.5</v>
      </c>
      <c r="K880">
        <v>6.75</v>
      </c>
    </row>
    <row r="881" spans="1:11" x14ac:dyDescent="0.35">
      <c r="A881" s="204">
        <v>30538</v>
      </c>
      <c r="B881" s="544">
        <v>11</v>
      </c>
      <c r="C881">
        <v>11</v>
      </c>
      <c r="D881">
        <v>12.75</v>
      </c>
      <c r="E881">
        <v>13.5</v>
      </c>
      <c r="F881">
        <v>9.25</v>
      </c>
      <c r="G881">
        <v>11</v>
      </c>
      <c r="H881">
        <v>11.75</v>
      </c>
      <c r="I881">
        <v>8.5</v>
      </c>
      <c r="K881">
        <v>6.75</v>
      </c>
    </row>
    <row r="882" spans="1:11" x14ac:dyDescent="0.35">
      <c r="A882" s="204">
        <v>30545</v>
      </c>
      <c r="B882" s="544">
        <v>11</v>
      </c>
      <c r="C882">
        <v>11</v>
      </c>
      <c r="D882">
        <v>13</v>
      </c>
      <c r="E882">
        <v>13.75</v>
      </c>
      <c r="F882">
        <v>9.25</v>
      </c>
      <c r="G882">
        <v>11</v>
      </c>
      <c r="H882">
        <v>11.75</v>
      </c>
      <c r="I882">
        <v>8.5</v>
      </c>
      <c r="K882">
        <v>6.75</v>
      </c>
    </row>
    <row r="883" spans="1:11" x14ac:dyDescent="0.35">
      <c r="A883" s="204">
        <v>30552</v>
      </c>
      <c r="B883" s="544">
        <v>11</v>
      </c>
      <c r="C883">
        <v>11</v>
      </c>
      <c r="D883">
        <v>13.25</v>
      </c>
      <c r="E883">
        <v>14</v>
      </c>
      <c r="F883">
        <v>9.25</v>
      </c>
      <c r="G883">
        <v>11.25</v>
      </c>
      <c r="H883">
        <v>12</v>
      </c>
      <c r="I883">
        <v>8.5</v>
      </c>
      <c r="K883">
        <v>6.75</v>
      </c>
    </row>
    <row r="884" spans="1:11" x14ac:dyDescent="0.35">
      <c r="A884" s="204">
        <v>30559</v>
      </c>
      <c r="B884" s="544">
        <v>11</v>
      </c>
      <c r="C884">
        <v>11</v>
      </c>
      <c r="D884">
        <v>13.25</v>
      </c>
      <c r="E884">
        <v>14</v>
      </c>
      <c r="F884">
        <v>9.25</v>
      </c>
      <c r="G884">
        <v>11.25</v>
      </c>
      <c r="H884">
        <v>12</v>
      </c>
      <c r="I884">
        <v>8.5</v>
      </c>
      <c r="K884">
        <v>6.75</v>
      </c>
    </row>
    <row r="885" spans="1:11" x14ac:dyDescent="0.35">
      <c r="A885" s="204">
        <v>30566</v>
      </c>
      <c r="B885" s="544">
        <v>11</v>
      </c>
      <c r="C885">
        <v>11</v>
      </c>
      <c r="D885">
        <v>13.25</v>
      </c>
      <c r="E885">
        <v>14</v>
      </c>
      <c r="F885">
        <v>9.25</v>
      </c>
      <c r="G885">
        <v>11.25</v>
      </c>
      <c r="H885">
        <v>12</v>
      </c>
      <c r="I885">
        <v>8.5</v>
      </c>
      <c r="K885">
        <v>6.75</v>
      </c>
    </row>
    <row r="886" spans="1:11" x14ac:dyDescent="0.35">
      <c r="A886" s="204">
        <v>30573</v>
      </c>
      <c r="B886" s="544">
        <v>11</v>
      </c>
      <c r="C886">
        <v>11</v>
      </c>
      <c r="D886">
        <v>13</v>
      </c>
      <c r="E886">
        <v>13.75</v>
      </c>
      <c r="F886">
        <v>9.25</v>
      </c>
      <c r="G886">
        <v>11.25</v>
      </c>
      <c r="H886">
        <v>12</v>
      </c>
      <c r="I886">
        <v>8.5</v>
      </c>
      <c r="K886">
        <v>6.75</v>
      </c>
    </row>
    <row r="887" spans="1:11" x14ac:dyDescent="0.35">
      <c r="A887" s="204">
        <v>30580</v>
      </c>
      <c r="B887" s="544">
        <v>11</v>
      </c>
      <c r="C887">
        <v>11</v>
      </c>
      <c r="D887">
        <v>13</v>
      </c>
      <c r="E887">
        <v>13.75</v>
      </c>
      <c r="F887">
        <v>9.25</v>
      </c>
      <c r="G887">
        <v>11.25</v>
      </c>
      <c r="H887">
        <v>12</v>
      </c>
      <c r="I887">
        <v>8.5</v>
      </c>
      <c r="K887">
        <v>6.75</v>
      </c>
    </row>
    <row r="888" spans="1:11" x14ac:dyDescent="0.35">
      <c r="A888" s="204">
        <v>30587</v>
      </c>
      <c r="B888" s="544">
        <v>11</v>
      </c>
      <c r="C888">
        <v>10.75</v>
      </c>
      <c r="D888">
        <v>12.75</v>
      </c>
      <c r="E888">
        <v>13.5</v>
      </c>
      <c r="F888">
        <v>9.25</v>
      </c>
      <c r="G888">
        <v>11.25</v>
      </c>
      <c r="H888">
        <v>12</v>
      </c>
      <c r="I888">
        <v>8.5</v>
      </c>
      <c r="K888">
        <v>6.75</v>
      </c>
    </row>
    <row r="889" spans="1:11" x14ac:dyDescent="0.35">
      <c r="A889" s="204">
        <v>30594</v>
      </c>
      <c r="B889" s="544">
        <v>11</v>
      </c>
      <c r="C889">
        <v>10.75</v>
      </c>
      <c r="D889">
        <v>12.75</v>
      </c>
      <c r="E889">
        <v>13.5</v>
      </c>
      <c r="F889">
        <v>9</v>
      </c>
      <c r="G889">
        <v>11</v>
      </c>
      <c r="H889">
        <v>11.75</v>
      </c>
      <c r="I889">
        <v>8.5</v>
      </c>
      <c r="K889">
        <v>6.75</v>
      </c>
    </row>
    <row r="890" spans="1:11" x14ac:dyDescent="0.35">
      <c r="A890" s="204">
        <v>30601</v>
      </c>
      <c r="B890" s="544">
        <v>11</v>
      </c>
      <c r="C890">
        <v>10.75</v>
      </c>
      <c r="D890">
        <v>12.75</v>
      </c>
      <c r="E890">
        <v>13.5</v>
      </c>
      <c r="F890">
        <v>9</v>
      </c>
      <c r="G890">
        <v>11</v>
      </c>
      <c r="H890">
        <v>11.75</v>
      </c>
      <c r="I890">
        <v>8.5</v>
      </c>
      <c r="K890">
        <v>6.75</v>
      </c>
    </row>
    <row r="891" spans="1:11" x14ac:dyDescent="0.35">
      <c r="A891" s="204">
        <v>30608</v>
      </c>
      <c r="B891" s="544">
        <v>11</v>
      </c>
      <c r="C891">
        <v>10.75</v>
      </c>
      <c r="D891">
        <v>12.25</v>
      </c>
      <c r="E891">
        <v>13</v>
      </c>
      <c r="F891">
        <v>9</v>
      </c>
      <c r="G891">
        <v>10.75</v>
      </c>
      <c r="H891">
        <v>11.5</v>
      </c>
      <c r="I891">
        <v>8.5</v>
      </c>
      <c r="K891">
        <v>6.75</v>
      </c>
    </row>
    <row r="892" spans="1:11" x14ac:dyDescent="0.35">
      <c r="A892" s="204">
        <v>30615</v>
      </c>
      <c r="B892" s="544">
        <v>11</v>
      </c>
      <c r="C892">
        <v>10.75</v>
      </c>
      <c r="D892">
        <v>12.25</v>
      </c>
      <c r="E892">
        <v>13</v>
      </c>
      <c r="F892">
        <v>9</v>
      </c>
      <c r="G892">
        <v>10.75</v>
      </c>
      <c r="H892">
        <v>11.5</v>
      </c>
      <c r="I892">
        <v>8.5</v>
      </c>
      <c r="K892">
        <v>6.75</v>
      </c>
    </row>
    <row r="893" spans="1:11" x14ac:dyDescent="0.35">
      <c r="A893" s="204">
        <v>30622</v>
      </c>
      <c r="B893" s="544">
        <v>11</v>
      </c>
      <c r="C893">
        <v>10.75</v>
      </c>
      <c r="D893">
        <v>12.25</v>
      </c>
      <c r="E893">
        <v>13</v>
      </c>
      <c r="F893">
        <v>9</v>
      </c>
      <c r="G893">
        <v>10.5</v>
      </c>
      <c r="H893">
        <v>11</v>
      </c>
      <c r="I893">
        <v>8.5</v>
      </c>
      <c r="K893">
        <v>6.75</v>
      </c>
    </row>
    <row r="894" spans="1:11" x14ac:dyDescent="0.35">
      <c r="A894" s="204">
        <v>30629</v>
      </c>
      <c r="B894" s="544">
        <v>11</v>
      </c>
      <c r="C894">
        <v>10.75</v>
      </c>
      <c r="D894">
        <v>12.25</v>
      </c>
      <c r="E894">
        <v>13</v>
      </c>
      <c r="F894">
        <v>8.75</v>
      </c>
      <c r="G894">
        <v>10.25</v>
      </c>
      <c r="H894">
        <v>11</v>
      </c>
      <c r="I894">
        <v>8.5</v>
      </c>
      <c r="K894">
        <v>6.75</v>
      </c>
    </row>
    <row r="895" spans="1:11" x14ac:dyDescent="0.35">
      <c r="A895" s="204">
        <v>30636</v>
      </c>
      <c r="B895" s="544">
        <v>11</v>
      </c>
      <c r="C895">
        <v>10.5</v>
      </c>
      <c r="D895">
        <v>12</v>
      </c>
      <c r="E895">
        <v>12.75</v>
      </c>
      <c r="F895">
        <v>8.75</v>
      </c>
      <c r="G895">
        <v>10</v>
      </c>
      <c r="H895">
        <v>10.75</v>
      </c>
      <c r="I895">
        <v>8.5</v>
      </c>
      <c r="K895">
        <v>6.75</v>
      </c>
    </row>
    <row r="896" spans="1:11" x14ac:dyDescent="0.35">
      <c r="A896" s="204">
        <v>30643</v>
      </c>
      <c r="B896" s="544">
        <v>11</v>
      </c>
      <c r="C896">
        <v>10.25</v>
      </c>
      <c r="D896">
        <v>11.75</v>
      </c>
      <c r="E896">
        <v>12.5</v>
      </c>
      <c r="F896">
        <v>8.5</v>
      </c>
      <c r="G896">
        <v>9.75</v>
      </c>
      <c r="H896">
        <v>10.5</v>
      </c>
      <c r="I896">
        <v>8.5</v>
      </c>
      <c r="K896">
        <v>6.75</v>
      </c>
    </row>
    <row r="897" spans="1:11" x14ac:dyDescent="0.35">
      <c r="A897" s="204">
        <v>30650</v>
      </c>
      <c r="B897" s="544">
        <v>11</v>
      </c>
      <c r="C897">
        <v>10.25</v>
      </c>
      <c r="D897">
        <v>11.75</v>
      </c>
      <c r="E897">
        <v>12.5</v>
      </c>
      <c r="F897">
        <v>8.5</v>
      </c>
      <c r="G897">
        <v>9.75</v>
      </c>
      <c r="H897">
        <v>10.5</v>
      </c>
      <c r="I897">
        <v>8.5</v>
      </c>
      <c r="K897">
        <v>6.75</v>
      </c>
    </row>
    <row r="898" spans="1:11" x14ac:dyDescent="0.35">
      <c r="A898" s="204">
        <v>30657</v>
      </c>
      <c r="B898" s="544">
        <v>11</v>
      </c>
      <c r="C898">
        <v>10.25</v>
      </c>
      <c r="D898">
        <v>11.75</v>
      </c>
      <c r="E898">
        <v>12.5</v>
      </c>
      <c r="F898">
        <v>8.5</v>
      </c>
      <c r="G898">
        <v>9.75</v>
      </c>
      <c r="H898">
        <v>10.5</v>
      </c>
      <c r="I898">
        <v>8.5</v>
      </c>
      <c r="K898">
        <v>6.75</v>
      </c>
    </row>
    <row r="899" spans="1:11" x14ac:dyDescent="0.35">
      <c r="A899" s="204">
        <v>30664</v>
      </c>
      <c r="B899" s="544">
        <v>11</v>
      </c>
      <c r="C899">
        <v>10.25</v>
      </c>
      <c r="D899">
        <v>11.75</v>
      </c>
      <c r="E899">
        <v>12.5</v>
      </c>
      <c r="F899">
        <v>8.5</v>
      </c>
      <c r="G899">
        <v>9.75</v>
      </c>
      <c r="H899">
        <v>10.5</v>
      </c>
      <c r="I899">
        <v>8.5</v>
      </c>
      <c r="K899">
        <v>6.75</v>
      </c>
    </row>
    <row r="900" spans="1:11" x14ac:dyDescent="0.35">
      <c r="A900" s="204">
        <v>30671</v>
      </c>
      <c r="B900" s="544">
        <v>11</v>
      </c>
      <c r="C900">
        <v>10.25</v>
      </c>
      <c r="D900">
        <v>11.75</v>
      </c>
      <c r="E900">
        <v>12.5</v>
      </c>
      <c r="F900">
        <v>8.5</v>
      </c>
      <c r="G900">
        <v>9.75</v>
      </c>
      <c r="H900">
        <v>10.5</v>
      </c>
      <c r="I900">
        <v>8.5</v>
      </c>
      <c r="K900">
        <v>6.75</v>
      </c>
    </row>
    <row r="901" spans="1:11" x14ac:dyDescent="0.35">
      <c r="A901" s="204">
        <v>30678</v>
      </c>
      <c r="B901" s="544">
        <v>11</v>
      </c>
      <c r="C901">
        <v>10.25</v>
      </c>
      <c r="D901">
        <v>11.75</v>
      </c>
      <c r="E901">
        <v>12.5</v>
      </c>
      <c r="F901">
        <v>8.75</v>
      </c>
      <c r="G901">
        <v>9.75</v>
      </c>
      <c r="H901">
        <v>10.5</v>
      </c>
      <c r="I901">
        <v>8.5</v>
      </c>
      <c r="K901">
        <v>6.75</v>
      </c>
    </row>
    <row r="902" spans="1:11" x14ac:dyDescent="0.35">
      <c r="A902" s="204">
        <v>30685</v>
      </c>
      <c r="B902" s="544">
        <v>11</v>
      </c>
      <c r="C902">
        <v>10.25</v>
      </c>
      <c r="D902">
        <v>11.75</v>
      </c>
      <c r="E902">
        <v>12.5</v>
      </c>
      <c r="F902">
        <v>8.75</v>
      </c>
      <c r="G902">
        <v>9.75</v>
      </c>
      <c r="H902">
        <v>10.5</v>
      </c>
      <c r="I902">
        <v>10.25</v>
      </c>
      <c r="K902">
        <v>6.75</v>
      </c>
    </row>
    <row r="903" spans="1:11" x14ac:dyDescent="0.35">
      <c r="A903" s="204">
        <v>30692</v>
      </c>
      <c r="B903" s="544">
        <v>11</v>
      </c>
      <c r="C903">
        <v>10.25</v>
      </c>
      <c r="D903">
        <v>11.75</v>
      </c>
      <c r="E903">
        <v>12.5</v>
      </c>
      <c r="F903">
        <v>8.75</v>
      </c>
      <c r="G903">
        <v>9.75</v>
      </c>
      <c r="H903">
        <v>10.5</v>
      </c>
      <c r="I903">
        <v>10.25</v>
      </c>
      <c r="K903">
        <v>6.75</v>
      </c>
    </row>
    <row r="904" spans="1:11" x14ac:dyDescent="0.35">
      <c r="A904" s="204">
        <v>30699</v>
      </c>
      <c r="B904" s="544">
        <v>11</v>
      </c>
      <c r="C904">
        <v>10.25</v>
      </c>
      <c r="D904">
        <v>11.75</v>
      </c>
      <c r="E904">
        <v>12.5</v>
      </c>
      <c r="F904">
        <v>8.75</v>
      </c>
      <c r="G904">
        <v>10</v>
      </c>
      <c r="H904">
        <v>11</v>
      </c>
      <c r="I904">
        <v>10.25</v>
      </c>
      <c r="K904">
        <v>6.75</v>
      </c>
    </row>
    <row r="905" spans="1:11" x14ac:dyDescent="0.35">
      <c r="A905" s="204">
        <v>30706</v>
      </c>
      <c r="B905" s="544">
        <v>11</v>
      </c>
      <c r="C905">
        <v>10.25</v>
      </c>
      <c r="D905">
        <v>11.75</v>
      </c>
      <c r="E905">
        <v>12.5</v>
      </c>
      <c r="F905">
        <v>8.75</v>
      </c>
      <c r="G905">
        <v>10</v>
      </c>
      <c r="H905">
        <v>11</v>
      </c>
      <c r="I905">
        <v>10.25</v>
      </c>
      <c r="K905">
        <v>6.75</v>
      </c>
    </row>
    <row r="906" spans="1:11" x14ac:dyDescent="0.35">
      <c r="A906" s="204">
        <v>30713</v>
      </c>
      <c r="B906" s="544">
        <v>11</v>
      </c>
      <c r="C906">
        <v>10.25</v>
      </c>
      <c r="D906">
        <v>11.75</v>
      </c>
      <c r="E906">
        <v>12.5</v>
      </c>
      <c r="F906">
        <v>8.75</v>
      </c>
      <c r="G906">
        <v>10</v>
      </c>
      <c r="H906">
        <v>11</v>
      </c>
      <c r="I906">
        <v>10.25</v>
      </c>
      <c r="K906">
        <v>6.75</v>
      </c>
    </row>
    <row r="907" spans="1:11" x14ac:dyDescent="0.35">
      <c r="A907" s="204">
        <v>30720</v>
      </c>
      <c r="B907" s="544">
        <v>11</v>
      </c>
      <c r="C907">
        <v>10.25</v>
      </c>
      <c r="D907">
        <v>11.75</v>
      </c>
      <c r="E907">
        <v>12.5</v>
      </c>
      <c r="F907">
        <v>8.75</v>
      </c>
      <c r="G907">
        <v>10</v>
      </c>
      <c r="H907">
        <v>11</v>
      </c>
      <c r="I907">
        <v>10.25</v>
      </c>
      <c r="K907">
        <v>6.75</v>
      </c>
    </row>
    <row r="908" spans="1:11" x14ac:dyDescent="0.35">
      <c r="A908" s="204">
        <v>30727</v>
      </c>
      <c r="B908" s="544">
        <v>11</v>
      </c>
      <c r="C908">
        <v>10.25</v>
      </c>
      <c r="D908">
        <v>11.75</v>
      </c>
      <c r="E908">
        <v>12.5</v>
      </c>
      <c r="F908">
        <v>8.75</v>
      </c>
      <c r="G908">
        <v>10</v>
      </c>
      <c r="H908">
        <v>11</v>
      </c>
      <c r="I908">
        <v>10.25</v>
      </c>
      <c r="K908">
        <v>6.75</v>
      </c>
    </row>
    <row r="909" spans="1:11" x14ac:dyDescent="0.35">
      <c r="A909" s="204">
        <v>30734</v>
      </c>
      <c r="B909" s="544">
        <v>11</v>
      </c>
      <c r="C909">
        <v>10.25</v>
      </c>
      <c r="D909">
        <v>11.75</v>
      </c>
      <c r="E909">
        <v>12.5</v>
      </c>
      <c r="F909">
        <v>8.75</v>
      </c>
      <c r="G909">
        <v>10</v>
      </c>
      <c r="H909">
        <v>11</v>
      </c>
      <c r="I909">
        <v>10.25</v>
      </c>
      <c r="K909">
        <v>6.75</v>
      </c>
    </row>
    <row r="910" spans="1:11" x14ac:dyDescent="0.35">
      <c r="A910" s="204">
        <v>30741</v>
      </c>
      <c r="B910" s="544">
        <v>11</v>
      </c>
      <c r="C910">
        <v>10.25</v>
      </c>
      <c r="D910">
        <v>11.75</v>
      </c>
      <c r="E910">
        <v>12.5</v>
      </c>
      <c r="F910">
        <v>8.75</v>
      </c>
      <c r="G910">
        <v>10</v>
      </c>
      <c r="H910">
        <v>11</v>
      </c>
      <c r="I910">
        <v>10.25</v>
      </c>
      <c r="K910">
        <v>6.75</v>
      </c>
    </row>
    <row r="911" spans="1:11" x14ac:dyDescent="0.35">
      <c r="A911" s="204">
        <v>30748</v>
      </c>
      <c r="B911" s="544">
        <v>11</v>
      </c>
      <c r="C911">
        <v>10.25</v>
      </c>
      <c r="D911">
        <v>11.75</v>
      </c>
      <c r="E911">
        <v>12.5</v>
      </c>
      <c r="F911">
        <v>8.75</v>
      </c>
      <c r="G911">
        <v>10</v>
      </c>
      <c r="H911">
        <v>11</v>
      </c>
      <c r="I911">
        <v>10.25</v>
      </c>
      <c r="K911">
        <v>6.75</v>
      </c>
    </row>
    <row r="912" spans="1:11" x14ac:dyDescent="0.35">
      <c r="A912" s="204">
        <v>30755</v>
      </c>
      <c r="B912" s="544">
        <v>11</v>
      </c>
      <c r="C912">
        <v>10.75</v>
      </c>
      <c r="D912">
        <v>12</v>
      </c>
      <c r="E912">
        <v>12.75</v>
      </c>
      <c r="F912">
        <v>9.5</v>
      </c>
      <c r="G912">
        <v>10.25</v>
      </c>
      <c r="H912">
        <v>11.25</v>
      </c>
      <c r="I912">
        <v>10.25</v>
      </c>
      <c r="K912">
        <v>6.75</v>
      </c>
    </row>
    <row r="913" spans="1:11" x14ac:dyDescent="0.35">
      <c r="A913" s="204">
        <v>30762</v>
      </c>
      <c r="B913" s="544">
        <v>11.5</v>
      </c>
      <c r="C913">
        <v>11.25</v>
      </c>
      <c r="D913">
        <v>12.5</v>
      </c>
      <c r="E913">
        <v>13.25</v>
      </c>
      <c r="F913">
        <v>9.5</v>
      </c>
      <c r="G913">
        <v>10.75</v>
      </c>
      <c r="H913">
        <v>11.75</v>
      </c>
      <c r="I913">
        <v>10.25</v>
      </c>
      <c r="K913">
        <v>6.75</v>
      </c>
    </row>
    <row r="914" spans="1:11" x14ac:dyDescent="0.35">
      <c r="A914" s="204">
        <v>30769</v>
      </c>
      <c r="B914" s="544">
        <v>11.5</v>
      </c>
      <c r="C914">
        <v>11.25</v>
      </c>
      <c r="D914">
        <v>12.5</v>
      </c>
      <c r="E914">
        <v>13.25</v>
      </c>
      <c r="F914">
        <v>9.75</v>
      </c>
      <c r="G914">
        <v>10.75</v>
      </c>
      <c r="H914">
        <v>11.75</v>
      </c>
      <c r="I914">
        <v>10.5</v>
      </c>
      <c r="K914">
        <v>7.25</v>
      </c>
    </row>
    <row r="915" spans="1:11" x14ac:dyDescent="0.35">
      <c r="A915" s="204">
        <v>30776</v>
      </c>
      <c r="B915" s="544">
        <v>11.5</v>
      </c>
      <c r="C915">
        <v>11.25</v>
      </c>
      <c r="D915">
        <v>12.5</v>
      </c>
      <c r="E915">
        <v>13.25</v>
      </c>
      <c r="F915">
        <v>9.75</v>
      </c>
      <c r="G915">
        <v>10.75</v>
      </c>
      <c r="H915">
        <v>11.75</v>
      </c>
      <c r="I915">
        <v>10.5</v>
      </c>
      <c r="K915">
        <v>7.25</v>
      </c>
    </row>
    <row r="916" spans="1:11" x14ac:dyDescent="0.35">
      <c r="A916" s="204">
        <v>30783</v>
      </c>
      <c r="B916" s="544">
        <v>11.5</v>
      </c>
      <c r="C916">
        <v>11.25</v>
      </c>
      <c r="D916">
        <v>12.5</v>
      </c>
      <c r="E916">
        <v>13.25</v>
      </c>
      <c r="F916">
        <v>10.25</v>
      </c>
      <c r="G916">
        <v>10.75</v>
      </c>
      <c r="H916">
        <v>11.75</v>
      </c>
      <c r="I916">
        <v>11</v>
      </c>
      <c r="K916">
        <v>7.25</v>
      </c>
    </row>
    <row r="917" spans="1:11" x14ac:dyDescent="0.35">
      <c r="A917" s="204">
        <v>30790</v>
      </c>
      <c r="B917" s="544">
        <v>11.5</v>
      </c>
      <c r="C917">
        <v>11.5</v>
      </c>
      <c r="D917">
        <v>12.75</v>
      </c>
      <c r="E917">
        <v>13.5</v>
      </c>
      <c r="F917">
        <v>10.25</v>
      </c>
      <c r="G917">
        <v>11.25</v>
      </c>
      <c r="H917">
        <v>12</v>
      </c>
      <c r="I917">
        <v>11</v>
      </c>
      <c r="K917">
        <v>7.25</v>
      </c>
    </row>
    <row r="918" spans="1:11" x14ac:dyDescent="0.35">
      <c r="A918" s="204">
        <v>30797</v>
      </c>
      <c r="B918" s="544">
        <v>11.5</v>
      </c>
      <c r="C918">
        <v>11.5</v>
      </c>
      <c r="D918">
        <v>12.75</v>
      </c>
      <c r="E918">
        <v>13.5</v>
      </c>
      <c r="F918">
        <v>10.25</v>
      </c>
      <c r="G918">
        <v>11.25</v>
      </c>
      <c r="H918">
        <v>12</v>
      </c>
      <c r="I918">
        <v>11</v>
      </c>
      <c r="K918">
        <v>7.25</v>
      </c>
    </row>
    <row r="919" spans="1:11" x14ac:dyDescent="0.35">
      <c r="A919" s="204">
        <v>30804</v>
      </c>
      <c r="B919" s="544">
        <v>11.5</v>
      </c>
      <c r="C919">
        <v>11.75</v>
      </c>
      <c r="D919">
        <v>13</v>
      </c>
      <c r="E919">
        <v>13.75</v>
      </c>
      <c r="F919">
        <v>10.25</v>
      </c>
      <c r="G919">
        <v>11.5</v>
      </c>
      <c r="H919">
        <v>12.25</v>
      </c>
      <c r="I919">
        <v>11</v>
      </c>
      <c r="K919">
        <v>7.25</v>
      </c>
    </row>
    <row r="920" spans="1:11" x14ac:dyDescent="0.35">
      <c r="A920" s="204">
        <v>30811</v>
      </c>
      <c r="B920" s="544">
        <v>12</v>
      </c>
      <c r="C920">
        <v>12.25</v>
      </c>
      <c r="D920">
        <v>13.75</v>
      </c>
      <c r="E920">
        <v>14.25</v>
      </c>
      <c r="F920">
        <v>10.5</v>
      </c>
      <c r="G920">
        <v>12</v>
      </c>
      <c r="H920">
        <v>12.5</v>
      </c>
      <c r="I920">
        <v>11</v>
      </c>
      <c r="K920">
        <v>7.25</v>
      </c>
    </row>
    <row r="921" spans="1:11" x14ac:dyDescent="0.35">
      <c r="A921" s="204">
        <v>30818</v>
      </c>
      <c r="B921" s="544">
        <v>12</v>
      </c>
      <c r="C921">
        <v>12.25</v>
      </c>
      <c r="D921">
        <v>13.75</v>
      </c>
      <c r="E921">
        <v>14.25</v>
      </c>
      <c r="F921">
        <v>10.75</v>
      </c>
      <c r="G921">
        <v>12.25</v>
      </c>
      <c r="H921">
        <v>12.75</v>
      </c>
      <c r="I921">
        <v>11.5</v>
      </c>
      <c r="K921">
        <v>7.75</v>
      </c>
    </row>
    <row r="922" spans="1:11" x14ac:dyDescent="0.35">
      <c r="A922" s="204">
        <v>30825</v>
      </c>
      <c r="B922" s="544">
        <v>12</v>
      </c>
      <c r="C922">
        <v>12.75</v>
      </c>
      <c r="D922">
        <v>14.25</v>
      </c>
      <c r="E922">
        <v>14.5</v>
      </c>
      <c r="F922">
        <v>11</v>
      </c>
      <c r="G922">
        <v>12.5</v>
      </c>
      <c r="H922">
        <v>13</v>
      </c>
      <c r="I922">
        <v>11.5</v>
      </c>
      <c r="K922">
        <v>7.75</v>
      </c>
    </row>
    <row r="923" spans="1:11" x14ac:dyDescent="0.35">
      <c r="A923" s="204">
        <v>30832</v>
      </c>
      <c r="B923" s="544">
        <v>12</v>
      </c>
      <c r="C923">
        <v>12.75</v>
      </c>
      <c r="D923">
        <v>14.25</v>
      </c>
      <c r="E923">
        <v>14.5</v>
      </c>
      <c r="F923">
        <v>11</v>
      </c>
      <c r="G923">
        <v>12.75</v>
      </c>
      <c r="H923">
        <v>13</v>
      </c>
      <c r="I923">
        <v>11.5</v>
      </c>
      <c r="K923">
        <v>7.75</v>
      </c>
    </row>
    <row r="924" spans="1:11" x14ac:dyDescent="0.35">
      <c r="A924" s="204">
        <v>30839</v>
      </c>
      <c r="B924" s="544">
        <v>12</v>
      </c>
      <c r="C924">
        <v>12.75</v>
      </c>
      <c r="D924">
        <v>14.25</v>
      </c>
      <c r="E924">
        <v>14.5</v>
      </c>
      <c r="F924">
        <v>11.25</v>
      </c>
      <c r="G924">
        <v>12.75</v>
      </c>
      <c r="H924">
        <v>13</v>
      </c>
      <c r="I924">
        <v>11.5</v>
      </c>
      <c r="K924">
        <v>7.75</v>
      </c>
    </row>
    <row r="925" spans="1:11" x14ac:dyDescent="0.35">
      <c r="A925" s="204">
        <v>30846</v>
      </c>
      <c r="B925" s="544">
        <v>12</v>
      </c>
      <c r="C925">
        <v>12.75</v>
      </c>
      <c r="D925">
        <v>14.25</v>
      </c>
      <c r="E925">
        <v>14.5</v>
      </c>
      <c r="F925">
        <v>11.25</v>
      </c>
      <c r="G925">
        <v>12.75</v>
      </c>
      <c r="H925">
        <v>13</v>
      </c>
      <c r="I925">
        <v>11.5</v>
      </c>
      <c r="K925">
        <v>7.75</v>
      </c>
    </row>
    <row r="926" spans="1:11" x14ac:dyDescent="0.35">
      <c r="A926" s="204">
        <v>30853</v>
      </c>
      <c r="B926" s="544">
        <v>12</v>
      </c>
      <c r="C926">
        <v>12.75</v>
      </c>
      <c r="D926">
        <v>14.25</v>
      </c>
      <c r="E926">
        <v>14.5</v>
      </c>
      <c r="F926">
        <v>11.25</v>
      </c>
      <c r="G926">
        <v>12.75</v>
      </c>
      <c r="H926">
        <v>13</v>
      </c>
      <c r="I926">
        <v>11.5</v>
      </c>
      <c r="K926">
        <v>7.75</v>
      </c>
    </row>
    <row r="927" spans="1:11" x14ac:dyDescent="0.35">
      <c r="A927" s="204">
        <v>30860</v>
      </c>
      <c r="B927" s="544">
        <v>12.5</v>
      </c>
      <c r="C927">
        <v>12.75</v>
      </c>
      <c r="D927">
        <v>14.25</v>
      </c>
      <c r="E927">
        <v>14.5</v>
      </c>
      <c r="F927">
        <v>11.25</v>
      </c>
      <c r="G927">
        <v>12.75</v>
      </c>
      <c r="H927">
        <v>13</v>
      </c>
      <c r="I927">
        <v>11.5</v>
      </c>
      <c r="K927">
        <v>8.25</v>
      </c>
    </row>
    <row r="928" spans="1:11" x14ac:dyDescent="0.35">
      <c r="A928" s="204">
        <v>30867</v>
      </c>
      <c r="B928" s="544">
        <v>13</v>
      </c>
      <c r="C928">
        <v>13.25</v>
      </c>
      <c r="D928">
        <v>14.5</v>
      </c>
      <c r="E928">
        <v>14.5</v>
      </c>
      <c r="F928">
        <v>11.75</v>
      </c>
      <c r="G928">
        <v>13</v>
      </c>
      <c r="H928">
        <v>13.25</v>
      </c>
      <c r="I928">
        <v>11.75</v>
      </c>
      <c r="K928">
        <v>8.5</v>
      </c>
    </row>
    <row r="929" spans="1:11" x14ac:dyDescent="0.35">
      <c r="A929" s="204">
        <v>30874</v>
      </c>
      <c r="B929" s="544">
        <v>13.5</v>
      </c>
      <c r="C929">
        <v>13.5</v>
      </c>
      <c r="D929">
        <v>14.75</v>
      </c>
      <c r="E929">
        <v>15</v>
      </c>
      <c r="F929">
        <v>12</v>
      </c>
      <c r="G929">
        <v>13.25</v>
      </c>
      <c r="H929">
        <v>13.25</v>
      </c>
      <c r="I929">
        <v>11.75</v>
      </c>
      <c r="K929">
        <v>9</v>
      </c>
    </row>
    <row r="930" spans="1:11" x14ac:dyDescent="0.35">
      <c r="A930" s="204">
        <v>30881</v>
      </c>
      <c r="B930" s="544">
        <v>13.5</v>
      </c>
      <c r="C930">
        <v>13.75</v>
      </c>
      <c r="D930">
        <v>15</v>
      </c>
      <c r="E930">
        <v>15.25</v>
      </c>
      <c r="F930">
        <v>12</v>
      </c>
      <c r="G930">
        <v>13.25</v>
      </c>
      <c r="H930">
        <v>13.25</v>
      </c>
      <c r="I930">
        <v>12</v>
      </c>
      <c r="K930">
        <v>9</v>
      </c>
    </row>
    <row r="931" spans="1:11" x14ac:dyDescent="0.35">
      <c r="A931" s="204">
        <v>30888</v>
      </c>
      <c r="B931" s="544">
        <v>13.5</v>
      </c>
      <c r="C931">
        <v>13.75</v>
      </c>
      <c r="D931">
        <v>15</v>
      </c>
      <c r="E931">
        <v>15.25</v>
      </c>
      <c r="F931">
        <v>12</v>
      </c>
      <c r="G931">
        <v>13.25</v>
      </c>
      <c r="H931">
        <v>13.25</v>
      </c>
      <c r="I931">
        <v>12.25</v>
      </c>
      <c r="K931">
        <v>9</v>
      </c>
    </row>
    <row r="932" spans="1:11" x14ac:dyDescent="0.35">
      <c r="A932" s="204">
        <v>30895</v>
      </c>
      <c r="B932" s="544">
        <v>13.5</v>
      </c>
      <c r="C932">
        <v>13.75</v>
      </c>
      <c r="D932">
        <v>14.75</v>
      </c>
      <c r="E932">
        <v>14.75</v>
      </c>
      <c r="F932">
        <v>12</v>
      </c>
      <c r="G932">
        <v>13.25</v>
      </c>
      <c r="H932">
        <v>13</v>
      </c>
      <c r="I932">
        <v>12.25</v>
      </c>
      <c r="K932">
        <v>9</v>
      </c>
    </row>
    <row r="933" spans="1:11" x14ac:dyDescent="0.35">
      <c r="A933" s="204">
        <v>30902</v>
      </c>
      <c r="B933" s="544">
        <v>13.5</v>
      </c>
      <c r="C933">
        <v>13.75</v>
      </c>
      <c r="D933">
        <v>14.75</v>
      </c>
      <c r="E933">
        <v>14.75</v>
      </c>
      <c r="F933">
        <v>12</v>
      </c>
      <c r="G933">
        <v>13</v>
      </c>
      <c r="H933">
        <v>12.75</v>
      </c>
      <c r="I933">
        <v>12.25</v>
      </c>
      <c r="K933">
        <v>9</v>
      </c>
    </row>
    <row r="934" spans="1:11" x14ac:dyDescent="0.35">
      <c r="A934" s="204">
        <v>30909</v>
      </c>
      <c r="B934" s="544">
        <v>13</v>
      </c>
      <c r="C934">
        <v>13.5</v>
      </c>
      <c r="D934">
        <v>14.25</v>
      </c>
      <c r="E934">
        <v>14.5</v>
      </c>
      <c r="F934">
        <v>11.75</v>
      </c>
      <c r="G934">
        <v>12.5</v>
      </c>
      <c r="H934">
        <v>12.5</v>
      </c>
      <c r="I934">
        <v>11.5</v>
      </c>
      <c r="K934">
        <v>8.5</v>
      </c>
    </row>
    <row r="935" spans="1:11" x14ac:dyDescent="0.35">
      <c r="A935" s="204">
        <v>30916</v>
      </c>
      <c r="B935" s="544">
        <v>13</v>
      </c>
      <c r="C935">
        <v>13.25</v>
      </c>
      <c r="D935">
        <v>14.25</v>
      </c>
      <c r="E935">
        <v>14.25</v>
      </c>
      <c r="F935">
        <v>11.75</v>
      </c>
      <c r="G935">
        <v>12.25</v>
      </c>
      <c r="H935">
        <v>12.25</v>
      </c>
      <c r="I935">
        <v>11.5</v>
      </c>
      <c r="K935">
        <v>8.5</v>
      </c>
    </row>
    <row r="936" spans="1:11" x14ac:dyDescent="0.35">
      <c r="A936" s="204">
        <v>30923</v>
      </c>
      <c r="B936" s="544">
        <v>13</v>
      </c>
      <c r="C936">
        <v>13.25</v>
      </c>
      <c r="D936">
        <v>14.25</v>
      </c>
      <c r="E936">
        <v>14.25</v>
      </c>
      <c r="F936">
        <v>11.5</v>
      </c>
      <c r="G936">
        <v>12.25</v>
      </c>
      <c r="H936">
        <v>12.25</v>
      </c>
      <c r="I936">
        <v>11.5</v>
      </c>
      <c r="K936">
        <v>8.5</v>
      </c>
    </row>
    <row r="937" spans="1:11" x14ac:dyDescent="0.35">
      <c r="A937" s="204">
        <v>30930</v>
      </c>
      <c r="B937" s="544">
        <v>13</v>
      </c>
      <c r="C937">
        <v>13.25</v>
      </c>
      <c r="D937">
        <v>14.25</v>
      </c>
      <c r="E937">
        <v>14.25</v>
      </c>
      <c r="F937">
        <v>11.5</v>
      </c>
      <c r="G937">
        <v>12</v>
      </c>
      <c r="H937">
        <v>12.25</v>
      </c>
      <c r="I937">
        <v>11.5</v>
      </c>
      <c r="K937">
        <v>8.5</v>
      </c>
    </row>
    <row r="938" spans="1:11" x14ac:dyDescent="0.35">
      <c r="A938" s="204">
        <v>30937</v>
      </c>
      <c r="B938" s="544">
        <v>13</v>
      </c>
      <c r="C938">
        <v>13</v>
      </c>
      <c r="D938">
        <v>14</v>
      </c>
      <c r="E938">
        <v>14</v>
      </c>
      <c r="F938">
        <v>11.5</v>
      </c>
      <c r="G938">
        <v>12</v>
      </c>
      <c r="H938">
        <v>12.25</v>
      </c>
      <c r="I938">
        <v>11.5</v>
      </c>
      <c r="K938">
        <v>8.5</v>
      </c>
    </row>
    <row r="939" spans="1:11" x14ac:dyDescent="0.35">
      <c r="A939" s="204">
        <v>30944</v>
      </c>
      <c r="B939" s="544">
        <v>13</v>
      </c>
      <c r="C939">
        <v>12.75</v>
      </c>
      <c r="D939">
        <v>13.75</v>
      </c>
      <c r="E939">
        <v>13.75</v>
      </c>
      <c r="F939">
        <v>11.25</v>
      </c>
      <c r="G939">
        <v>11.75</v>
      </c>
      <c r="H939">
        <v>12</v>
      </c>
      <c r="I939">
        <v>11.5</v>
      </c>
      <c r="K939">
        <v>8.5</v>
      </c>
    </row>
    <row r="940" spans="1:11" x14ac:dyDescent="0.35">
      <c r="A940" s="204">
        <v>30951</v>
      </c>
      <c r="B940" s="544">
        <v>13</v>
      </c>
      <c r="C940">
        <v>12.75</v>
      </c>
      <c r="D940">
        <v>13.75</v>
      </c>
      <c r="E940">
        <v>13.75</v>
      </c>
      <c r="F940">
        <v>11.25</v>
      </c>
      <c r="G940">
        <v>11.75</v>
      </c>
      <c r="H940">
        <v>12</v>
      </c>
      <c r="I940">
        <v>11.5</v>
      </c>
      <c r="K940">
        <v>8.5</v>
      </c>
    </row>
    <row r="941" spans="1:11" x14ac:dyDescent="0.35">
      <c r="A941" s="204">
        <v>30958</v>
      </c>
      <c r="B941" s="544">
        <v>13</v>
      </c>
      <c r="C941">
        <v>12.75</v>
      </c>
      <c r="D941">
        <v>13.75</v>
      </c>
      <c r="E941">
        <v>13.75</v>
      </c>
      <c r="F941">
        <v>11.25</v>
      </c>
      <c r="G941">
        <v>11.75</v>
      </c>
      <c r="H941">
        <v>12</v>
      </c>
      <c r="I941">
        <v>11.5</v>
      </c>
      <c r="K941">
        <v>8.5</v>
      </c>
    </row>
    <row r="942" spans="1:11" x14ac:dyDescent="0.35">
      <c r="A942" s="204">
        <v>30965</v>
      </c>
      <c r="B942" s="544">
        <v>13</v>
      </c>
      <c r="C942">
        <v>12.75</v>
      </c>
      <c r="D942">
        <v>13.75</v>
      </c>
      <c r="E942">
        <v>13.75</v>
      </c>
      <c r="F942">
        <v>11.25</v>
      </c>
      <c r="G942">
        <v>11.75</v>
      </c>
      <c r="H942">
        <v>12</v>
      </c>
      <c r="I942">
        <v>11.5</v>
      </c>
      <c r="K942">
        <v>8.5</v>
      </c>
    </row>
    <row r="943" spans="1:11" x14ac:dyDescent="0.35">
      <c r="A943" s="204">
        <v>30972</v>
      </c>
      <c r="B943" s="544">
        <v>13</v>
      </c>
      <c r="C943">
        <v>12.75</v>
      </c>
      <c r="D943">
        <v>13.75</v>
      </c>
      <c r="E943">
        <v>13.75</v>
      </c>
      <c r="F943">
        <v>11.25</v>
      </c>
      <c r="G943">
        <v>11.75</v>
      </c>
      <c r="H943">
        <v>12</v>
      </c>
      <c r="I943">
        <v>11.5</v>
      </c>
      <c r="K943">
        <v>8.5</v>
      </c>
    </row>
    <row r="944" spans="1:11" x14ac:dyDescent="0.35">
      <c r="A944" s="204">
        <v>30979</v>
      </c>
      <c r="B944" s="544">
        <v>13</v>
      </c>
      <c r="C944">
        <v>12.5</v>
      </c>
      <c r="D944">
        <v>13.5</v>
      </c>
      <c r="E944">
        <v>13.5</v>
      </c>
      <c r="F944">
        <v>11.25</v>
      </c>
      <c r="G944">
        <v>11.75</v>
      </c>
      <c r="H944">
        <v>12</v>
      </c>
      <c r="I944">
        <v>11.5</v>
      </c>
      <c r="K944">
        <v>8.5</v>
      </c>
    </row>
    <row r="945" spans="1:11" x14ac:dyDescent="0.35">
      <c r="A945" s="204">
        <v>30986</v>
      </c>
      <c r="B945" s="544">
        <v>12.5</v>
      </c>
      <c r="C945">
        <v>12.5</v>
      </c>
      <c r="D945">
        <v>13.5</v>
      </c>
      <c r="E945">
        <v>13.5</v>
      </c>
      <c r="F945">
        <v>11</v>
      </c>
      <c r="G945">
        <v>11.5</v>
      </c>
      <c r="H945">
        <v>11.75</v>
      </c>
      <c r="I945">
        <v>11</v>
      </c>
      <c r="K945">
        <v>8</v>
      </c>
    </row>
    <row r="946" spans="1:11" x14ac:dyDescent="0.35">
      <c r="A946" s="204">
        <v>30993</v>
      </c>
      <c r="B946" s="544">
        <v>12.5</v>
      </c>
      <c r="C946">
        <v>12.5</v>
      </c>
      <c r="D946">
        <v>13.5</v>
      </c>
      <c r="E946">
        <v>13.5</v>
      </c>
      <c r="F946">
        <v>11</v>
      </c>
      <c r="G946">
        <v>11.5</v>
      </c>
      <c r="H946">
        <v>11.75</v>
      </c>
      <c r="I946">
        <v>11</v>
      </c>
      <c r="K946">
        <v>8</v>
      </c>
    </row>
    <row r="947" spans="1:11" x14ac:dyDescent="0.35">
      <c r="A947" s="204">
        <v>31000</v>
      </c>
      <c r="B947" s="544">
        <v>12.5</v>
      </c>
      <c r="C947">
        <v>12.25</v>
      </c>
      <c r="D947">
        <v>13</v>
      </c>
      <c r="E947">
        <v>13.25</v>
      </c>
      <c r="F947">
        <v>10.75</v>
      </c>
      <c r="G947">
        <v>11.5</v>
      </c>
      <c r="H947">
        <v>11.5</v>
      </c>
      <c r="I947">
        <v>11</v>
      </c>
      <c r="K947">
        <v>8</v>
      </c>
    </row>
    <row r="948" spans="1:11" x14ac:dyDescent="0.35">
      <c r="A948" s="204">
        <v>31007</v>
      </c>
      <c r="B948" s="544">
        <v>12</v>
      </c>
      <c r="C948">
        <v>12</v>
      </c>
      <c r="D948">
        <v>12.5</v>
      </c>
      <c r="E948">
        <v>13</v>
      </c>
      <c r="F948">
        <v>10.5</v>
      </c>
      <c r="G948">
        <v>11.25</v>
      </c>
      <c r="H948">
        <v>11.25</v>
      </c>
      <c r="I948">
        <v>10.75</v>
      </c>
      <c r="K948">
        <v>7.5</v>
      </c>
    </row>
    <row r="949" spans="1:11" x14ac:dyDescent="0.35">
      <c r="A949" s="204">
        <v>31014</v>
      </c>
      <c r="B949" s="544">
        <v>12</v>
      </c>
      <c r="C949">
        <v>11.75</v>
      </c>
      <c r="D949">
        <v>12.5</v>
      </c>
      <c r="E949">
        <v>13</v>
      </c>
      <c r="F949">
        <v>10.25</v>
      </c>
      <c r="G949">
        <v>11</v>
      </c>
      <c r="H949">
        <v>11</v>
      </c>
      <c r="I949">
        <v>10.75</v>
      </c>
      <c r="K949">
        <v>7.5</v>
      </c>
    </row>
    <row r="950" spans="1:11" x14ac:dyDescent="0.35">
      <c r="A950" s="204">
        <v>31021</v>
      </c>
      <c r="B950" s="544">
        <v>12</v>
      </c>
      <c r="C950">
        <v>11.5</v>
      </c>
      <c r="D950">
        <v>12.5</v>
      </c>
      <c r="E950">
        <v>12.75</v>
      </c>
      <c r="F950">
        <v>10</v>
      </c>
      <c r="G950">
        <v>10.5</v>
      </c>
      <c r="H950">
        <v>11</v>
      </c>
      <c r="I950">
        <v>10.75</v>
      </c>
      <c r="K950">
        <v>7.5</v>
      </c>
    </row>
    <row r="951" spans="1:11" x14ac:dyDescent="0.35">
      <c r="A951" s="204">
        <v>31028</v>
      </c>
      <c r="B951" s="544">
        <v>11.75</v>
      </c>
      <c r="C951">
        <v>11.5</v>
      </c>
      <c r="D951">
        <v>12.5</v>
      </c>
      <c r="E951">
        <v>12.75</v>
      </c>
      <c r="F951">
        <v>10</v>
      </c>
      <c r="G951">
        <v>10.5</v>
      </c>
      <c r="H951">
        <v>11</v>
      </c>
      <c r="I951">
        <v>10.5</v>
      </c>
      <c r="K951">
        <v>7.25</v>
      </c>
    </row>
    <row r="952" spans="1:11" x14ac:dyDescent="0.35">
      <c r="A952" s="204">
        <v>31035</v>
      </c>
      <c r="B952" s="544">
        <v>11.75</v>
      </c>
      <c r="C952">
        <v>11.5</v>
      </c>
      <c r="D952">
        <v>12.5</v>
      </c>
      <c r="E952">
        <v>12.75</v>
      </c>
      <c r="F952">
        <v>10</v>
      </c>
      <c r="G952">
        <v>10.5</v>
      </c>
      <c r="H952">
        <v>11</v>
      </c>
      <c r="I952">
        <v>10.5</v>
      </c>
      <c r="K952">
        <v>7.25</v>
      </c>
    </row>
    <row r="953" spans="1:11" x14ac:dyDescent="0.35">
      <c r="A953" s="204">
        <v>31042</v>
      </c>
      <c r="B953" s="544">
        <v>11.25</v>
      </c>
      <c r="C953">
        <v>11.25</v>
      </c>
      <c r="D953">
        <v>12.25</v>
      </c>
      <c r="E953">
        <v>12.5</v>
      </c>
      <c r="F953">
        <v>9.75</v>
      </c>
      <c r="G953">
        <v>10.5</v>
      </c>
      <c r="H953">
        <v>10.75</v>
      </c>
      <c r="I953">
        <v>10.25</v>
      </c>
      <c r="K953">
        <v>6.75</v>
      </c>
    </row>
    <row r="954" spans="1:11" x14ac:dyDescent="0.35">
      <c r="A954" s="204">
        <v>31049</v>
      </c>
      <c r="B954" s="544">
        <v>11.25</v>
      </c>
      <c r="C954">
        <v>11.25</v>
      </c>
      <c r="D954">
        <v>12.25</v>
      </c>
      <c r="E954">
        <v>12.5</v>
      </c>
      <c r="F954">
        <v>9.75</v>
      </c>
      <c r="G954">
        <v>10.25</v>
      </c>
      <c r="H954">
        <v>10.75</v>
      </c>
      <c r="I954">
        <v>10.25</v>
      </c>
      <c r="K954">
        <v>6.75</v>
      </c>
    </row>
    <row r="955" spans="1:11" x14ac:dyDescent="0.35">
      <c r="A955" s="204">
        <v>31056</v>
      </c>
      <c r="B955" s="544">
        <v>11.25</v>
      </c>
      <c r="C955">
        <v>11.25</v>
      </c>
      <c r="D955">
        <v>12.25</v>
      </c>
      <c r="E955">
        <v>12.5</v>
      </c>
      <c r="F955">
        <v>9.5</v>
      </c>
      <c r="G955">
        <v>10.25</v>
      </c>
      <c r="H955">
        <v>10.75</v>
      </c>
      <c r="I955">
        <v>10.25</v>
      </c>
      <c r="K955">
        <v>6.75</v>
      </c>
    </row>
    <row r="956" spans="1:11" x14ac:dyDescent="0.35">
      <c r="A956" s="204">
        <v>31063</v>
      </c>
      <c r="B956" s="544">
        <v>11</v>
      </c>
      <c r="C956">
        <v>11</v>
      </c>
      <c r="D956">
        <v>12</v>
      </c>
      <c r="E956">
        <v>12.5</v>
      </c>
      <c r="F956">
        <v>9.5</v>
      </c>
      <c r="G956">
        <v>10.25</v>
      </c>
      <c r="H956">
        <v>10.75</v>
      </c>
      <c r="I956">
        <v>10.25</v>
      </c>
      <c r="K956">
        <v>6.5</v>
      </c>
    </row>
    <row r="957" spans="1:11" x14ac:dyDescent="0.35">
      <c r="A957" s="204">
        <v>31070</v>
      </c>
      <c r="B957" s="544">
        <v>11</v>
      </c>
      <c r="C957">
        <v>10.75</v>
      </c>
      <c r="D957">
        <v>11.75</v>
      </c>
      <c r="E957">
        <v>12.5</v>
      </c>
      <c r="F957">
        <v>9.5</v>
      </c>
      <c r="G957">
        <v>10</v>
      </c>
      <c r="H957">
        <v>10.75</v>
      </c>
      <c r="I957">
        <v>10.25</v>
      </c>
      <c r="K957">
        <v>6.5</v>
      </c>
    </row>
    <row r="958" spans="1:11" x14ac:dyDescent="0.35">
      <c r="A958" s="204">
        <v>31077</v>
      </c>
      <c r="B958" s="544">
        <v>11</v>
      </c>
      <c r="C958">
        <v>10.75</v>
      </c>
      <c r="D958">
        <v>11.75</v>
      </c>
      <c r="E958">
        <v>12.25</v>
      </c>
      <c r="F958">
        <v>9.25</v>
      </c>
      <c r="G958">
        <v>10</v>
      </c>
      <c r="H958">
        <v>10.75</v>
      </c>
      <c r="I958">
        <v>10.25</v>
      </c>
      <c r="K958">
        <v>6.5</v>
      </c>
    </row>
    <row r="959" spans="1:11" x14ac:dyDescent="0.35">
      <c r="A959" s="204">
        <v>31084</v>
      </c>
      <c r="B959" s="544">
        <v>11</v>
      </c>
      <c r="C959">
        <v>10.75</v>
      </c>
      <c r="D959">
        <v>11.75</v>
      </c>
      <c r="E959">
        <v>12.25</v>
      </c>
      <c r="F959">
        <v>9.25</v>
      </c>
      <c r="G959">
        <v>10</v>
      </c>
      <c r="H959">
        <v>10.75</v>
      </c>
      <c r="I959">
        <v>10.25</v>
      </c>
      <c r="K959">
        <v>6.5</v>
      </c>
    </row>
    <row r="960" spans="1:11" x14ac:dyDescent="0.35">
      <c r="A960" s="204">
        <v>31091</v>
      </c>
      <c r="B960" s="544">
        <v>11</v>
      </c>
      <c r="C960">
        <v>11</v>
      </c>
      <c r="D960">
        <v>12.25</v>
      </c>
      <c r="E960">
        <v>12.75</v>
      </c>
      <c r="F960">
        <v>9.25</v>
      </c>
      <c r="G960">
        <v>10</v>
      </c>
      <c r="H960">
        <v>10.75</v>
      </c>
      <c r="I960">
        <v>10.25</v>
      </c>
      <c r="K960">
        <v>6.5</v>
      </c>
    </row>
    <row r="961" spans="1:11" x14ac:dyDescent="0.35">
      <c r="A961" s="204">
        <v>31098</v>
      </c>
      <c r="B961" s="544">
        <v>11</v>
      </c>
      <c r="C961">
        <v>11</v>
      </c>
      <c r="D961">
        <v>12.25</v>
      </c>
      <c r="E961">
        <v>12.75</v>
      </c>
      <c r="F961">
        <v>9.5</v>
      </c>
      <c r="G961">
        <v>10.5</v>
      </c>
      <c r="H961">
        <v>11</v>
      </c>
      <c r="I961">
        <v>10.25</v>
      </c>
      <c r="K961">
        <v>6.5</v>
      </c>
    </row>
    <row r="962" spans="1:11" x14ac:dyDescent="0.35">
      <c r="A962" s="204">
        <v>31105</v>
      </c>
      <c r="B962" s="544">
        <v>11.5</v>
      </c>
      <c r="C962">
        <v>11.25</v>
      </c>
      <c r="D962">
        <v>12.5</v>
      </c>
      <c r="E962">
        <v>13.25</v>
      </c>
      <c r="F962">
        <v>9.75</v>
      </c>
      <c r="G962">
        <v>10.75</v>
      </c>
      <c r="H962">
        <v>11.5</v>
      </c>
      <c r="I962">
        <v>10.5</v>
      </c>
      <c r="K962">
        <v>7</v>
      </c>
    </row>
    <row r="963" spans="1:11" x14ac:dyDescent="0.35">
      <c r="A963" s="204">
        <v>31112</v>
      </c>
      <c r="B963" s="544">
        <v>11.5</v>
      </c>
      <c r="C963">
        <v>11.75</v>
      </c>
      <c r="D963">
        <v>12.75</v>
      </c>
      <c r="E963">
        <v>13.5</v>
      </c>
      <c r="F963">
        <v>10.25</v>
      </c>
      <c r="G963">
        <v>11</v>
      </c>
      <c r="H963">
        <v>11.5</v>
      </c>
      <c r="I963">
        <v>10.5</v>
      </c>
      <c r="K963">
        <v>7</v>
      </c>
    </row>
    <row r="964" spans="1:11" x14ac:dyDescent="0.35">
      <c r="A964" s="204">
        <v>31119</v>
      </c>
      <c r="B964" s="544">
        <v>11.75</v>
      </c>
      <c r="C964">
        <v>12</v>
      </c>
      <c r="D964">
        <v>13</v>
      </c>
      <c r="E964">
        <v>13.5</v>
      </c>
      <c r="F964">
        <v>10.25</v>
      </c>
      <c r="G964">
        <v>11.25</v>
      </c>
      <c r="H964">
        <v>11.75</v>
      </c>
      <c r="I964">
        <v>10.5</v>
      </c>
      <c r="K964">
        <v>7.25</v>
      </c>
    </row>
    <row r="965" spans="1:11" x14ac:dyDescent="0.35">
      <c r="A965" s="204">
        <v>31126</v>
      </c>
      <c r="B965" s="544">
        <v>11.75</v>
      </c>
      <c r="C965">
        <v>11.75</v>
      </c>
      <c r="D965">
        <v>13</v>
      </c>
      <c r="E965">
        <v>13.5</v>
      </c>
      <c r="F965">
        <v>10.25</v>
      </c>
      <c r="G965">
        <v>11.25</v>
      </c>
      <c r="H965">
        <v>11.75</v>
      </c>
      <c r="I965">
        <v>10.5</v>
      </c>
      <c r="K965">
        <v>7.25</v>
      </c>
    </row>
    <row r="966" spans="1:11" x14ac:dyDescent="0.35">
      <c r="A966" s="204">
        <v>31133</v>
      </c>
      <c r="B966" s="544">
        <v>11.75</v>
      </c>
      <c r="C966">
        <v>11.75</v>
      </c>
      <c r="D966">
        <v>12.75</v>
      </c>
      <c r="E966">
        <v>13.25</v>
      </c>
      <c r="F966">
        <v>10.25</v>
      </c>
      <c r="G966">
        <v>11.25</v>
      </c>
      <c r="H966">
        <v>11.75</v>
      </c>
      <c r="I966">
        <v>10.5</v>
      </c>
      <c r="K966">
        <v>7.25</v>
      </c>
    </row>
    <row r="967" spans="1:11" x14ac:dyDescent="0.35">
      <c r="A967" s="204">
        <v>31140</v>
      </c>
      <c r="B967" s="544">
        <v>11.25</v>
      </c>
      <c r="C967">
        <v>11.75</v>
      </c>
      <c r="D967">
        <v>12.75</v>
      </c>
      <c r="E967">
        <v>13.25</v>
      </c>
      <c r="F967">
        <v>9.75</v>
      </c>
      <c r="G967">
        <v>10.5</v>
      </c>
      <c r="H967">
        <v>11</v>
      </c>
      <c r="I967">
        <v>10</v>
      </c>
      <c r="K967">
        <v>6.75</v>
      </c>
    </row>
    <row r="968" spans="1:11" x14ac:dyDescent="0.35">
      <c r="A968" s="204">
        <v>31147</v>
      </c>
      <c r="B968" s="544">
        <v>11.25</v>
      </c>
      <c r="C968">
        <v>11.25</v>
      </c>
      <c r="D968">
        <v>12.25</v>
      </c>
      <c r="E968">
        <v>12.75</v>
      </c>
      <c r="F968">
        <v>9.75</v>
      </c>
      <c r="G968">
        <v>10.5</v>
      </c>
      <c r="H968">
        <v>11</v>
      </c>
      <c r="I968">
        <v>10</v>
      </c>
      <c r="K968">
        <v>6.75</v>
      </c>
    </row>
    <row r="969" spans="1:11" x14ac:dyDescent="0.35">
      <c r="A969" s="204">
        <v>31154</v>
      </c>
      <c r="B969" s="544">
        <v>11</v>
      </c>
      <c r="C969">
        <v>11.25</v>
      </c>
      <c r="D969">
        <v>12.25</v>
      </c>
      <c r="E969">
        <v>12.75</v>
      </c>
      <c r="F969">
        <v>9.25</v>
      </c>
      <c r="G969">
        <v>10</v>
      </c>
      <c r="H969">
        <v>10.5</v>
      </c>
      <c r="I969">
        <v>9.75</v>
      </c>
      <c r="K969">
        <v>6.5</v>
      </c>
    </row>
    <row r="970" spans="1:11" x14ac:dyDescent="0.35">
      <c r="A970" s="204">
        <v>31161</v>
      </c>
      <c r="B970" s="544">
        <v>10.75</v>
      </c>
      <c r="C970">
        <v>10.5</v>
      </c>
      <c r="D970">
        <v>11.75</v>
      </c>
      <c r="E970">
        <v>12.5</v>
      </c>
      <c r="F970">
        <v>9</v>
      </c>
      <c r="G970">
        <v>10</v>
      </c>
      <c r="H970">
        <v>10.5</v>
      </c>
      <c r="I970">
        <v>9.5</v>
      </c>
      <c r="K970">
        <v>6.25</v>
      </c>
    </row>
    <row r="971" spans="1:11" x14ac:dyDescent="0.35">
      <c r="A971" s="204">
        <v>31168</v>
      </c>
      <c r="B971" s="544">
        <v>10.75</v>
      </c>
      <c r="C971">
        <v>10.5</v>
      </c>
      <c r="D971">
        <v>11.75</v>
      </c>
      <c r="E971">
        <v>12.5</v>
      </c>
      <c r="F971">
        <v>9</v>
      </c>
      <c r="G971">
        <v>10.25</v>
      </c>
      <c r="H971">
        <v>10.75</v>
      </c>
      <c r="I971">
        <v>9.5</v>
      </c>
      <c r="K971">
        <v>6.25</v>
      </c>
    </row>
    <row r="972" spans="1:11" x14ac:dyDescent="0.35">
      <c r="A972" s="204">
        <v>31175</v>
      </c>
      <c r="B972" s="544">
        <v>10.75</v>
      </c>
      <c r="C972">
        <v>10.5</v>
      </c>
      <c r="D972">
        <v>11.75</v>
      </c>
      <c r="E972">
        <v>12.5</v>
      </c>
      <c r="F972">
        <v>9</v>
      </c>
      <c r="G972">
        <v>10.25</v>
      </c>
      <c r="H972">
        <v>10.75</v>
      </c>
      <c r="I972">
        <v>9.75</v>
      </c>
      <c r="K972">
        <v>6.25</v>
      </c>
    </row>
    <row r="973" spans="1:11" x14ac:dyDescent="0.35">
      <c r="A973" s="204">
        <v>31182</v>
      </c>
      <c r="B973" s="544">
        <v>10.75</v>
      </c>
      <c r="C973">
        <v>10.5</v>
      </c>
      <c r="D973">
        <v>11.75</v>
      </c>
      <c r="E973">
        <v>12.5</v>
      </c>
      <c r="F973">
        <v>9</v>
      </c>
      <c r="G973">
        <v>10.25</v>
      </c>
      <c r="H973">
        <v>10.75</v>
      </c>
      <c r="I973">
        <v>9.75</v>
      </c>
      <c r="K973">
        <v>6.25</v>
      </c>
    </row>
    <row r="974" spans="1:11" x14ac:dyDescent="0.35">
      <c r="A974" s="204">
        <v>31189</v>
      </c>
      <c r="B974" s="544">
        <v>10.5</v>
      </c>
      <c r="C974">
        <v>10</v>
      </c>
      <c r="D974">
        <v>11.25</v>
      </c>
      <c r="E974">
        <v>12.25</v>
      </c>
      <c r="F974">
        <v>8.5</v>
      </c>
      <c r="G974">
        <v>10</v>
      </c>
      <c r="H974">
        <v>10.5</v>
      </c>
      <c r="I974">
        <v>9.5</v>
      </c>
      <c r="K974">
        <v>6</v>
      </c>
    </row>
    <row r="975" spans="1:11" x14ac:dyDescent="0.35">
      <c r="A975" s="204">
        <v>31196</v>
      </c>
      <c r="B975" s="544">
        <v>10.5</v>
      </c>
      <c r="C975">
        <v>10</v>
      </c>
      <c r="D975">
        <v>11.25</v>
      </c>
      <c r="E975">
        <v>12.25</v>
      </c>
      <c r="F975">
        <v>8.5</v>
      </c>
      <c r="G975">
        <v>9.75</v>
      </c>
      <c r="H975">
        <v>10.25</v>
      </c>
      <c r="I975">
        <v>9.5</v>
      </c>
      <c r="K975">
        <v>6</v>
      </c>
    </row>
    <row r="976" spans="1:11" x14ac:dyDescent="0.35">
      <c r="A976" s="204">
        <v>31203</v>
      </c>
      <c r="B976" s="544">
        <v>10.5</v>
      </c>
      <c r="C976">
        <v>10</v>
      </c>
      <c r="D976">
        <v>11.25</v>
      </c>
      <c r="E976">
        <v>12.25</v>
      </c>
      <c r="F976">
        <v>8.5</v>
      </c>
      <c r="G976">
        <v>9.75</v>
      </c>
      <c r="H976">
        <v>10.25</v>
      </c>
      <c r="I976">
        <v>9.5</v>
      </c>
      <c r="K976">
        <v>6</v>
      </c>
    </row>
    <row r="977" spans="1:11" x14ac:dyDescent="0.35">
      <c r="A977" s="204">
        <v>31210</v>
      </c>
      <c r="B977" s="544">
        <v>10.5</v>
      </c>
      <c r="C977">
        <v>10</v>
      </c>
      <c r="D977">
        <v>11.25</v>
      </c>
      <c r="E977">
        <v>11.75</v>
      </c>
      <c r="F977">
        <v>8.5</v>
      </c>
      <c r="G977">
        <v>9.75</v>
      </c>
      <c r="H977">
        <v>10</v>
      </c>
      <c r="I977">
        <v>9.5</v>
      </c>
      <c r="K977">
        <v>6</v>
      </c>
    </row>
    <row r="978" spans="1:11" x14ac:dyDescent="0.35">
      <c r="A978" s="204">
        <v>31217</v>
      </c>
      <c r="B978" s="544">
        <v>10.5</v>
      </c>
      <c r="C978">
        <v>10</v>
      </c>
      <c r="D978">
        <v>11.25</v>
      </c>
      <c r="E978">
        <v>11.75</v>
      </c>
      <c r="F978">
        <v>8.5</v>
      </c>
      <c r="G978">
        <v>9.75</v>
      </c>
      <c r="H978">
        <v>10</v>
      </c>
      <c r="I978">
        <v>9.5</v>
      </c>
      <c r="K978">
        <v>6</v>
      </c>
    </row>
    <row r="979" spans="1:11" x14ac:dyDescent="0.35">
      <c r="A979" s="204">
        <v>31224</v>
      </c>
      <c r="B979" s="544">
        <v>10.5</v>
      </c>
      <c r="C979">
        <v>10</v>
      </c>
      <c r="D979">
        <v>11.25</v>
      </c>
      <c r="E979">
        <v>11.75</v>
      </c>
      <c r="F979">
        <v>8.5</v>
      </c>
      <c r="G979">
        <v>9.75</v>
      </c>
      <c r="H979">
        <v>10</v>
      </c>
      <c r="I979">
        <v>9.5</v>
      </c>
      <c r="K979">
        <v>6</v>
      </c>
    </row>
    <row r="980" spans="1:11" x14ac:dyDescent="0.35">
      <c r="A980" s="204">
        <v>31231</v>
      </c>
      <c r="B980" s="544">
        <v>10.5</v>
      </c>
      <c r="C980">
        <v>10</v>
      </c>
      <c r="D980">
        <v>11.25</v>
      </c>
      <c r="E980">
        <v>11.75</v>
      </c>
      <c r="F980">
        <v>8.5</v>
      </c>
      <c r="G980">
        <v>9.75</v>
      </c>
      <c r="H980">
        <v>10</v>
      </c>
      <c r="I980">
        <v>9.5</v>
      </c>
      <c r="K980">
        <v>6</v>
      </c>
    </row>
    <row r="981" spans="1:11" x14ac:dyDescent="0.35">
      <c r="A981" s="204">
        <v>31238</v>
      </c>
      <c r="B981" s="544">
        <v>10.5</v>
      </c>
      <c r="C981">
        <v>10</v>
      </c>
      <c r="D981">
        <v>11.25</v>
      </c>
      <c r="E981">
        <v>11.75</v>
      </c>
      <c r="F981">
        <v>8.5</v>
      </c>
      <c r="G981">
        <v>9.75</v>
      </c>
      <c r="H981">
        <v>10</v>
      </c>
      <c r="I981">
        <v>9.5</v>
      </c>
      <c r="K981">
        <v>6</v>
      </c>
    </row>
    <row r="982" spans="1:11" x14ac:dyDescent="0.35">
      <c r="A982" s="204">
        <v>31245</v>
      </c>
      <c r="B982" s="544">
        <v>10.5</v>
      </c>
      <c r="C982">
        <v>10</v>
      </c>
      <c r="D982">
        <v>11.25</v>
      </c>
      <c r="E982">
        <v>11.75</v>
      </c>
      <c r="F982">
        <v>8.5</v>
      </c>
      <c r="G982">
        <v>9.75</v>
      </c>
      <c r="H982">
        <v>10</v>
      </c>
      <c r="I982">
        <v>9.5</v>
      </c>
      <c r="K982">
        <v>6</v>
      </c>
    </row>
    <row r="983" spans="1:11" x14ac:dyDescent="0.35">
      <c r="A983" s="204">
        <v>31252</v>
      </c>
      <c r="B983" s="544">
        <v>10.5</v>
      </c>
      <c r="C983">
        <v>10</v>
      </c>
      <c r="D983">
        <v>11.25</v>
      </c>
      <c r="E983">
        <v>11.75</v>
      </c>
      <c r="F983">
        <v>8.5</v>
      </c>
      <c r="G983">
        <v>9.75</v>
      </c>
      <c r="H983">
        <v>10</v>
      </c>
      <c r="I983">
        <v>9.5</v>
      </c>
      <c r="K983">
        <v>6</v>
      </c>
    </row>
    <row r="984" spans="1:11" x14ac:dyDescent="0.35">
      <c r="A984" s="204">
        <v>31259</v>
      </c>
      <c r="B984" s="544">
        <v>10.5</v>
      </c>
      <c r="C984">
        <v>10</v>
      </c>
      <c r="D984">
        <v>11.25</v>
      </c>
      <c r="E984">
        <v>11.75</v>
      </c>
      <c r="F984">
        <v>8.5</v>
      </c>
      <c r="G984">
        <v>9.75</v>
      </c>
      <c r="H984">
        <v>10</v>
      </c>
      <c r="I984">
        <v>9.5</v>
      </c>
      <c r="K984">
        <v>6</v>
      </c>
    </row>
    <row r="985" spans="1:11" x14ac:dyDescent="0.35">
      <c r="A985" s="204">
        <v>31266</v>
      </c>
      <c r="B985" s="544">
        <v>10.5</v>
      </c>
      <c r="C985">
        <v>10</v>
      </c>
      <c r="D985">
        <v>11.25</v>
      </c>
      <c r="E985">
        <v>11.75</v>
      </c>
      <c r="F985">
        <v>8.5</v>
      </c>
      <c r="G985">
        <v>9.75</v>
      </c>
      <c r="H985">
        <v>10</v>
      </c>
      <c r="I985">
        <v>9.5</v>
      </c>
      <c r="K985">
        <v>6</v>
      </c>
    </row>
    <row r="986" spans="1:11" x14ac:dyDescent="0.35">
      <c r="A986" s="204">
        <v>31273</v>
      </c>
      <c r="B986" s="544">
        <v>10.5</v>
      </c>
      <c r="C986">
        <v>10</v>
      </c>
      <c r="D986">
        <v>11.25</v>
      </c>
      <c r="E986">
        <v>11.75</v>
      </c>
      <c r="F986">
        <v>8.5</v>
      </c>
      <c r="G986">
        <v>9.75</v>
      </c>
      <c r="H986">
        <v>10.5</v>
      </c>
      <c r="I986">
        <v>9.5</v>
      </c>
      <c r="K986">
        <v>6</v>
      </c>
    </row>
    <row r="987" spans="1:11" x14ac:dyDescent="0.35">
      <c r="A987" s="204">
        <v>31280</v>
      </c>
      <c r="B987" s="544">
        <v>10.5</v>
      </c>
      <c r="C987">
        <v>10</v>
      </c>
      <c r="D987">
        <v>11.25</v>
      </c>
      <c r="E987">
        <v>11.75</v>
      </c>
      <c r="F987">
        <v>8.5</v>
      </c>
      <c r="G987">
        <v>9.75</v>
      </c>
      <c r="H987">
        <v>10.5</v>
      </c>
      <c r="I987">
        <v>9.5</v>
      </c>
      <c r="K987">
        <v>6</v>
      </c>
    </row>
    <row r="988" spans="1:11" x14ac:dyDescent="0.35">
      <c r="A988" s="204">
        <v>31287</v>
      </c>
      <c r="B988" s="544">
        <v>10.25</v>
      </c>
      <c r="C988">
        <v>10</v>
      </c>
      <c r="D988">
        <v>11.25</v>
      </c>
      <c r="E988">
        <v>11.75</v>
      </c>
      <c r="F988">
        <v>8.5</v>
      </c>
      <c r="G988">
        <v>9.75</v>
      </c>
      <c r="H988">
        <v>10.5</v>
      </c>
      <c r="I988">
        <v>9.25</v>
      </c>
      <c r="K988">
        <v>5.75</v>
      </c>
    </row>
    <row r="989" spans="1:11" x14ac:dyDescent="0.35">
      <c r="A989" s="204">
        <v>31294</v>
      </c>
      <c r="B989" s="544">
        <v>10.25</v>
      </c>
      <c r="C989">
        <v>10</v>
      </c>
      <c r="D989">
        <v>11.25</v>
      </c>
      <c r="E989">
        <v>11.75</v>
      </c>
      <c r="F989">
        <v>8.5</v>
      </c>
      <c r="G989">
        <v>9.75</v>
      </c>
      <c r="H989">
        <v>10.5</v>
      </c>
      <c r="I989">
        <v>9.25</v>
      </c>
      <c r="K989">
        <v>5.75</v>
      </c>
    </row>
    <row r="990" spans="1:11" x14ac:dyDescent="0.35">
      <c r="A990" s="204">
        <v>31301</v>
      </c>
      <c r="B990" s="544">
        <v>10.25</v>
      </c>
      <c r="C990">
        <v>10</v>
      </c>
      <c r="D990">
        <v>11.25</v>
      </c>
      <c r="E990">
        <v>11.75</v>
      </c>
      <c r="F990">
        <v>8.5</v>
      </c>
      <c r="G990">
        <v>9.75</v>
      </c>
      <c r="H990">
        <v>10.5</v>
      </c>
      <c r="I990">
        <v>9.25</v>
      </c>
      <c r="K990">
        <v>5.75</v>
      </c>
    </row>
    <row r="991" spans="1:11" x14ac:dyDescent="0.35">
      <c r="A991" s="204">
        <v>31308</v>
      </c>
      <c r="B991" s="544">
        <v>10.25</v>
      </c>
      <c r="C991">
        <v>10</v>
      </c>
      <c r="D991">
        <v>11.25</v>
      </c>
      <c r="E991">
        <v>11.75</v>
      </c>
      <c r="F991">
        <v>8.5</v>
      </c>
      <c r="G991">
        <v>9.75</v>
      </c>
      <c r="H991">
        <v>10.5</v>
      </c>
      <c r="I991">
        <v>9.25</v>
      </c>
      <c r="K991">
        <v>5.75</v>
      </c>
    </row>
    <row r="992" spans="1:11" x14ac:dyDescent="0.35">
      <c r="A992" s="204">
        <v>31315</v>
      </c>
      <c r="B992" s="544">
        <v>10.25</v>
      </c>
      <c r="C992">
        <v>10</v>
      </c>
      <c r="D992">
        <v>11.25</v>
      </c>
      <c r="E992">
        <v>11.75</v>
      </c>
      <c r="F992">
        <v>8.5</v>
      </c>
      <c r="G992">
        <v>9.75</v>
      </c>
      <c r="H992">
        <v>10.5</v>
      </c>
      <c r="I992">
        <v>9.25</v>
      </c>
      <c r="K992">
        <v>5.75</v>
      </c>
    </row>
    <row r="993" spans="1:11" x14ac:dyDescent="0.35">
      <c r="A993" s="204">
        <v>31322</v>
      </c>
      <c r="B993" s="544">
        <v>10.25</v>
      </c>
      <c r="C993">
        <v>10</v>
      </c>
      <c r="D993">
        <v>11.25</v>
      </c>
      <c r="E993">
        <v>11.75</v>
      </c>
      <c r="F993">
        <v>8.5</v>
      </c>
      <c r="G993">
        <v>9.75</v>
      </c>
      <c r="H993">
        <v>10.5</v>
      </c>
      <c r="I993">
        <v>9.25</v>
      </c>
      <c r="K993">
        <v>5.75</v>
      </c>
    </row>
    <row r="994" spans="1:11" x14ac:dyDescent="0.35">
      <c r="A994" s="204">
        <v>31329</v>
      </c>
      <c r="B994" s="544">
        <v>10</v>
      </c>
      <c r="C994">
        <v>10</v>
      </c>
      <c r="D994">
        <v>11.25</v>
      </c>
      <c r="E994">
        <v>11.75</v>
      </c>
      <c r="F994">
        <v>8.5</v>
      </c>
      <c r="G994">
        <v>9.75</v>
      </c>
      <c r="H994">
        <v>10.5</v>
      </c>
      <c r="I994">
        <v>9.25</v>
      </c>
      <c r="K994">
        <v>5.5</v>
      </c>
    </row>
    <row r="995" spans="1:11" x14ac:dyDescent="0.35">
      <c r="A995" s="204">
        <v>31336</v>
      </c>
      <c r="B995" s="544">
        <v>10</v>
      </c>
      <c r="C995">
        <v>10</v>
      </c>
      <c r="D995">
        <v>11.25</v>
      </c>
      <c r="E995">
        <v>11.75</v>
      </c>
      <c r="F995">
        <v>8.5</v>
      </c>
      <c r="G995">
        <v>9.75</v>
      </c>
      <c r="H995">
        <v>10.5</v>
      </c>
      <c r="I995">
        <v>9.25</v>
      </c>
      <c r="K995">
        <v>5.5</v>
      </c>
    </row>
    <row r="996" spans="1:11" x14ac:dyDescent="0.35">
      <c r="A996" s="204">
        <v>31343</v>
      </c>
      <c r="B996" s="544">
        <v>10</v>
      </c>
      <c r="C996">
        <v>10</v>
      </c>
      <c r="D996">
        <v>11.25</v>
      </c>
      <c r="E996">
        <v>11.75</v>
      </c>
      <c r="F996">
        <v>8.5</v>
      </c>
      <c r="G996">
        <v>9.75</v>
      </c>
      <c r="H996">
        <v>10.5</v>
      </c>
      <c r="I996">
        <v>9.25</v>
      </c>
      <c r="K996">
        <v>5.5</v>
      </c>
    </row>
    <row r="997" spans="1:11" x14ac:dyDescent="0.35">
      <c r="A997" s="204">
        <v>31350</v>
      </c>
      <c r="B997" s="544">
        <v>10</v>
      </c>
      <c r="C997">
        <v>10</v>
      </c>
      <c r="D997">
        <v>11.25</v>
      </c>
      <c r="E997">
        <v>11.75</v>
      </c>
      <c r="F997">
        <v>8.5</v>
      </c>
      <c r="G997">
        <v>9.75</v>
      </c>
      <c r="H997">
        <v>10.5</v>
      </c>
      <c r="I997">
        <v>9.25</v>
      </c>
      <c r="K997">
        <v>5.5</v>
      </c>
    </row>
    <row r="998" spans="1:11" x14ac:dyDescent="0.35">
      <c r="A998" s="204">
        <v>31357</v>
      </c>
      <c r="B998" s="544">
        <v>10</v>
      </c>
      <c r="C998">
        <v>9.75</v>
      </c>
      <c r="D998">
        <v>11.25</v>
      </c>
      <c r="E998">
        <v>11.75</v>
      </c>
      <c r="F998">
        <v>8.5</v>
      </c>
      <c r="G998">
        <v>9.75</v>
      </c>
      <c r="H998">
        <v>10.5</v>
      </c>
      <c r="I998">
        <v>9.25</v>
      </c>
      <c r="K998">
        <v>5.5</v>
      </c>
    </row>
    <row r="999" spans="1:11" x14ac:dyDescent="0.35">
      <c r="A999" s="204">
        <v>31364</v>
      </c>
      <c r="B999" s="544">
        <v>10</v>
      </c>
      <c r="C999">
        <v>9.75</v>
      </c>
      <c r="D999">
        <v>11.25</v>
      </c>
      <c r="E999">
        <v>11.75</v>
      </c>
      <c r="F999">
        <v>8.25</v>
      </c>
      <c r="G999">
        <v>9.75</v>
      </c>
      <c r="H999">
        <v>10.25</v>
      </c>
      <c r="I999">
        <v>9.25</v>
      </c>
      <c r="K999">
        <v>5.5</v>
      </c>
    </row>
    <row r="1000" spans="1:11" x14ac:dyDescent="0.35">
      <c r="A1000" s="204">
        <v>31371</v>
      </c>
      <c r="B1000" s="544">
        <v>10</v>
      </c>
      <c r="C1000">
        <v>9.75</v>
      </c>
      <c r="D1000">
        <v>11.25</v>
      </c>
      <c r="E1000">
        <v>11.75</v>
      </c>
      <c r="F1000">
        <v>8.25</v>
      </c>
      <c r="G1000">
        <v>9.5</v>
      </c>
      <c r="H1000">
        <v>10</v>
      </c>
      <c r="I1000">
        <v>9.25</v>
      </c>
      <c r="K1000">
        <v>5.5</v>
      </c>
    </row>
    <row r="1001" spans="1:11" x14ac:dyDescent="0.35">
      <c r="A1001" s="204">
        <v>31378</v>
      </c>
      <c r="B1001" s="544">
        <v>10</v>
      </c>
      <c r="C1001">
        <v>9.75</v>
      </c>
      <c r="D1001">
        <v>11.25</v>
      </c>
      <c r="E1001">
        <v>11.75</v>
      </c>
      <c r="F1001">
        <v>8.25</v>
      </c>
      <c r="G1001">
        <v>9.5</v>
      </c>
      <c r="H1001">
        <v>10</v>
      </c>
      <c r="I1001">
        <v>9.25</v>
      </c>
      <c r="K1001">
        <v>5.5</v>
      </c>
    </row>
    <row r="1002" spans="1:11" x14ac:dyDescent="0.35">
      <c r="A1002" s="204">
        <v>31385</v>
      </c>
      <c r="B1002" s="544">
        <v>10</v>
      </c>
      <c r="C1002">
        <v>9.75</v>
      </c>
      <c r="D1002">
        <v>11.25</v>
      </c>
      <c r="E1002">
        <v>11.75</v>
      </c>
      <c r="F1002">
        <v>8.25</v>
      </c>
      <c r="G1002">
        <v>9.5</v>
      </c>
      <c r="H1002">
        <v>10</v>
      </c>
      <c r="I1002">
        <v>9.25</v>
      </c>
      <c r="K1002">
        <v>5.5</v>
      </c>
    </row>
    <row r="1003" spans="1:11" x14ac:dyDescent="0.35">
      <c r="A1003" s="204">
        <v>31392</v>
      </c>
      <c r="B1003" s="544">
        <v>10</v>
      </c>
      <c r="C1003">
        <v>9.75</v>
      </c>
      <c r="D1003">
        <v>11.25</v>
      </c>
      <c r="E1003">
        <v>11.75</v>
      </c>
      <c r="F1003">
        <v>8.25</v>
      </c>
      <c r="G1003">
        <v>9.5</v>
      </c>
      <c r="H1003">
        <v>10</v>
      </c>
      <c r="I1003">
        <v>9.25</v>
      </c>
      <c r="K1003">
        <v>5.5</v>
      </c>
    </row>
    <row r="1004" spans="1:11" x14ac:dyDescent="0.35">
      <c r="A1004" s="204">
        <v>31399</v>
      </c>
      <c r="B1004" s="544">
        <v>10</v>
      </c>
      <c r="C1004">
        <v>9.75</v>
      </c>
      <c r="D1004">
        <v>11</v>
      </c>
      <c r="E1004">
        <v>11.5</v>
      </c>
      <c r="F1004">
        <v>8.25</v>
      </c>
      <c r="G1004">
        <v>9.25</v>
      </c>
      <c r="H1004">
        <v>9.75</v>
      </c>
      <c r="I1004">
        <v>9.25</v>
      </c>
      <c r="K1004">
        <v>5.5</v>
      </c>
    </row>
    <row r="1005" spans="1:11" x14ac:dyDescent="0.35">
      <c r="A1005" s="204">
        <v>31406</v>
      </c>
      <c r="B1005" s="544">
        <v>10</v>
      </c>
      <c r="C1005">
        <v>9.75</v>
      </c>
      <c r="D1005">
        <v>11</v>
      </c>
      <c r="E1005">
        <v>11.5</v>
      </c>
      <c r="F1005">
        <v>8.25</v>
      </c>
      <c r="G1005">
        <v>9.25</v>
      </c>
      <c r="H1005">
        <v>9.75</v>
      </c>
      <c r="I1005">
        <v>9.25</v>
      </c>
      <c r="K1005">
        <v>5.5</v>
      </c>
    </row>
    <row r="1006" spans="1:11" x14ac:dyDescent="0.35">
      <c r="A1006" s="204">
        <v>31413</v>
      </c>
      <c r="B1006" s="544">
        <v>10</v>
      </c>
      <c r="C1006">
        <v>9.75</v>
      </c>
      <c r="D1006">
        <v>11</v>
      </c>
      <c r="E1006">
        <v>11.5</v>
      </c>
      <c r="F1006">
        <v>8.25</v>
      </c>
      <c r="G1006">
        <v>9.25</v>
      </c>
      <c r="H1006">
        <v>9.75</v>
      </c>
      <c r="I1006">
        <v>9.25</v>
      </c>
      <c r="K1006">
        <v>5.5</v>
      </c>
    </row>
    <row r="1007" spans="1:11" x14ac:dyDescent="0.35">
      <c r="A1007" s="204">
        <v>31420</v>
      </c>
      <c r="B1007" s="544">
        <v>10.5</v>
      </c>
      <c r="C1007">
        <v>10.25</v>
      </c>
      <c r="D1007">
        <v>11</v>
      </c>
      <c r="E1007">
        <v>11.5</v>
      </c>
      <c r="F1007">
        <v>8.75</v>
      </c>
      <c r="G1007">
        <v>9.25</v>
      </c>
      <c r="H1007">
        <v>9.75</v>
      </c>
      <c r="I1007">
        <v>9.25</v>
      </c>
      <c r="K1007">
        <v>6</v>
      </c>
    </row>
    <row r="1008" spans="1:11" x14ac:dyDescent="0.35">
      <c r="A1008" s="204">
        <v>31427</v>
      </c>
      <c r="B1008" s="544">
        <v>11</v>
      </c>
      <c r="C1008">
        <v>10.25</v>
      </c>
      <c r="D1008">
        <v>11.25</v>
      </c>
      <c r="E1008">
        <v>11.75</v>
      </c>
      <c r="F1008">
        <v>8.75</v>
      </c>
      <c r="G1008">
        <v>9.5</v>
      </c>
      <c r="H1008">
        <v>10</v>
      </c>
      <c r="I1008">
        <v>9.25</v>
      </c>
      <c r="K1008">
        <v>6.5</v>
      </c>
    </row>
    <row r="1009" spans="1:11" x14ac:dyDescent="0.35">
      <c r="A1009" s="204">
        <v>31434</v>
      </c>
      <c r="B1009" s="544">
        <v>11</v>
      </c>
      <c r="C1009">
        <v>10.75</v>
      </c>
      <c r="D1009">
        <v>11.5</v>
      </c>
      <c r="E1009">
        <v>11.75</v>
      </c>
      <c r="F1009">
        <v>9</v>
      </c>
      <c r="G1009">
        <v>9.75</v>
      </c>
      <c r="H1009">
        <v>10</v>
      </c>
      <c r="I1009">
        <v>9.5</v>
      </c>
      <c r="K1009">
        <v>6.5</v>
      </c>
    </row>
    <row r="1010" spans="1:11" x14ac:dyDescent="0.35">
      <c r="A1010" s="204">
        <v>31441</v>
      </c>
      <c r="B1010" s="544">
        <v>11</v>
      </c>
      <c r="C1010">
        <v>10.75</v>
      </c>
      <c r="D1010">
        <v>11.5</v>
      </c>
      <c r="E1010">
        <v>11.75</v>
      </c>
      <c r="F1010">
        <v>9.25</v>
      </c>
      <c r="G1010">
        <v>9.75</v>
      </c>
      <c r="H1010">
        <v>10</v>
      </c>
      <c r="I1010">
        <v>9.5</v>
      </c>
      <c r="K1010">
        <v>6.5</v>
      </c>
    </row>
    <row r="1011" spans="1:11" x14ac:dyDescent="0.35">
      <c r="A1011" s="204">
        <v>31448</v>
      </c>
      <c r="B1011" s="544">
        <v>11.5</v>
      </c>
      <c r="C1011">
        <v>11.25</v>
      </c>
      <c r="D1011">
        <v>11.5</v>
      </c>
      <c r="E1011">
        <v>11.75</v>
      </c>
      <c r="F1011">
        <v>9.5</v>
      </c>
      <c r="G1011">
        <v>10</v>
      </c>
      <c r="H1011">
        <v>10.25</v>
      </c>
      <c r="I1011">
        <v>10</v>
      </c>
      <c r="K1011">
        <v>7</v>
      </c>
    </row>
    <row r="1012" spans="1:11" x14ac:dyDescent="0.35">
      <c r="A1012" s="204">
        <v>31455</v>
      </c>
      <c r="B1012" s="544">
        <v>12.25</v>
      </c>
      <c r="C1012">
        <v>11.25</v>
      </c>
      <c r="D1012">
        <v>11.5</v>
      </c>
      <c r="E1012">
        <v>12</v>
      </c>
      <c r="F1012">
        <v>9.75</v>
      </c>
      <c r="G1012">
        <v>10</v>
      </c>
      <c r="H1012">
        <v>10.25</v>
      </c>
      <c r="I1012">
        <v>10</v>
      </c>
      <c r="K1012">
        <v>7.75</v>
      </c>
    </row>
    <row r="1013" spans="1:11" x14ac:dyDescent="0.35">
      <c r="A1013" s="204">
        <v>31462</v>
      </c>
      <c r="B1013" s="544">
        <v>13</v>
      </c>
      <c r="C1013">
        <v>11.75</v>
      </c>
      <c r="D1013">
        <v>12</v>
      </c>
      <c r="E1013">
        <v>12</v>
      </c>
      <c r="F1013">
        <v>10</v>
      </c>
      <c r="G1013">
        <v>10.25</v>
      </c>
      <c r="H1013">
        <v>10.25</v>
      </c>
      <c r="I1013">
        <v>10</v>
      </c>
      <c r="K1013">
        <v>8.5</v>
      </c>
    </row>
    <row r="1014" spans="1:11" x14ac:dyDescent="0.35">
      <c r="A1014" s="204">
        <v>31469</v>
      </c>
      <c r="B1014" s="544">
        <v>13</v>
      </c>
      <c r="C1014">
        <v>11.75</v>
      </c>
      <c r="D1014">
        <v>12</v>
      </c>
      <c r="E1014">
        <v>12</v>
      </c>
      <c r="F1014">
        <v>10</v>
      </c>
      <c r="G1014">
        <v>10.25</v>
      </c>
      <c r="H1014">
        <v>10.25</v>
      </c>
      <c r="I1014">
        <v>10</v>
      </c>
      <c r="K1014">
        <v>8.5</v>
      </c>
    </row>
    <row r="1015" spans="1:11" x14ac:dyDescent="0.35">
      <c r="A1015" s="204">
        <v>31476</v>
      </c>
      <c r="B1015" s="544">
        <v>13</v>
      </c>
      <c r="C1015">
        <v>11.5</v>
      </c>
      <c r="D1015">
        <v>11.75</v>
      </c>
      <c r="E1015">
        <v>11.75</v>
      </c>
      <c r="F1015">
        <v>10</v>
      </c>
      <c r="G1015">
        <v>10</v>
      </c>
      <c r="H1015">
        <v>10.25</v>
      </c>
      <c r="I1015">
        <v>10</v>
      </c>
      <c r="K1015">
        <v>8.5</v>
      </c>
    </row>
    <row r="1016" spans="1:11" x14ac:dyDescent="0.35">
      <c r="A1016" s="204">
        <v>31483</v>
      </c>
      <c r="B1016" s="544">
        <v>13</v>
      </c>
      <c r="C1016">
        <v>11.5</v>
      </c>
      <c r="D1016">
        <v>11.75</v>
      </c>
      <c r="E1016">
        <v>11.75</v>
      </c>
      <c r="F1016">
        <v>9.75</v>
      </c>
      <c r="G1016">
        <v>10</v>
      </c>
      <c r="H1016">
        <v>10</v>
      </c>
      <c r="I1016">
        <v>9.75</v>
      </c>
      <c r="K1016">
        <v>8.5</v>
      </c>
    </row>
    <row r="1017" spans="1:11" x14ac:dyDescent="0.35">
      <c r="A1017" s="204">
        <v>31490</v>
      </c>
      <c r="B1017" s="544">
        <v>12.5</v>
      </c>
      <c r="C1017">
        <v>11</v>
      </c>
      <c r="D1017">
        <v>11.5</v>
      </c>
      <c r="E1017">
        <v>11.5</v>
      </c>
      <c r="F1017">
        <v>9.5</v>
      </c>
      <c r="G1017">
        <v>9.75</v>
      </c>
      <c r="H1017">
        <v>9.75</v>
      </c>
      <c r="I1017">
        <v>9.25</v>
      </c>
      <c r="K1017">
        <v>8</v>
      </c>
    </row>
    <row r="1018" spans="1:11" x14ac:dyDescent="0.35">
      <c r="A1018" s="204">
        <v>31497</v>
      </c>
      <c r="B1018" s="544">
        <v>12</v>
      </c>
      <c r="C1018">
        <v>11</v>
      </c>
      <c r="D1018">
        <v>11.5</v>
      </c>
      <c r="E1018">
        <v>11.5</v>
      </c>
      <c r="F1018">
        <v>9.25</v>
      </c>
      <c r="G1018">
        <v>9.5</v>
      </c>
      <c r="H1018">
        <v>9.75</v>
      </c>
      <c r="I1018">
        <v>9.25</v>
      </c>
      <c r="K1018">
        <v>7.5</v>
      </c>
    </row>
    <row r="1019" spans="1:11" x14ac:dyDescent="0.35">
      <c r="A1019" s="204">
        <v>31504</v>
      </c>
      <c r="B1019" s="544">
        <v>12</v>
      </c>
      <c r="C1019">
        <v>11</v>
      </c>
      <c r="D1019">
        <v>11.5</v>
      </c>
      <c r="E1019">
        <v>11.5</v>
      </c>
      <c r="F1019">
        <v>9.25</v>
      </c>
      <c r="G1019">
        <v>9.5</v>
      </c>
      <c r="H1019">
        <v>9.5</v>
      </c>
      <c r="I1019">
        <v>9.25</v>
      </c>
      <c r="K1019">
        <v>7.5</v>
      </c>
    </row>
    <row r="1020" spans="1:11" x14ac:dyDescent="0.35">
      <c r="A1020" s="204">
        <v>31511</v>
      </c>
      <c r="B1020" s="544">
        <v>12</v>
      </c>
      <c r="C1020">
        <v>10.75</v>
      </c>
      <c r="D1020">
        <v>11.25</v>
      </c>
      <c r="E1020">
        <v>11.25</v>
      </c>
      <c r="F1020">
        <v>8.75</v>
      </c>
      <c r="G1020">
        <v>9.25</v>
      </c>
      <c r="H1020">
        <v>9.25</v>
      </c>
      <c r="I1020">
        <v>8.75</v>
      </c>
      <c r="K1020">
        <v>7.5</v>
      </c>
    </row>
    <row r="1021" spans="1:11" x14ac:dyDescent="0.35">
      <c r="A1021" s="204">
        <v>31518</v>
      </c>
      <c r="B1021" s="544">
        <v>11.25</v>
      </c>
      <c r="C1021">
        <v>10.5</v>
      </c>
      <c r="D1021">
        <v>11</v>
      </c>
      <c r="E1021">
        <v>11</v>
      </c>
      <c r="F1021">
        <v>8.75</v>
      </c>
      <c r="G1021">
        <v>9.25</v>
      </c>
      <c r="H1021">
        <v>9.25</v>
      </c>
      <c r="I1021">
        <v>8.25</v>
      </c>
      <c r="K1021">
        <v>6.75</v>
      </c>
    </row>
    <row r="1022" spans="1:11" x14ac:dyDescent="0.35">
      <c r="A1022" s="204">
        <v>31525</v>
      </c>
      <c r="B1022" s="544">
        <v>11.25</v>
      </c>
      <c r="C1022">
        <v>10.25</v>
      </c>
      <c r="D1022">
        <v>10.75</v>
      </c>
      <c r="E1022">
        <v>11</v>
      </c>
      <c r="F1022">
        <v>8.75</v>
      </c>
      <c r="G1022">
        <v>9</v>
      </c>
      <c r="H1022">
        <v>9</v>
      </c>
      <c r="I1022">
        <v>8.25</v>
      </c>
      <c r="K1022">
        <v>6.75</v>
      </c>
    </row>
    <row r="1023" spans="1:11" x14ac:dyDescent="0.35">
      <c r="A1023" s="204">
        <v>31532</v>
      </c>
      <c r="B1023" s="544">
        <v>11.25</v>
      </c>
      <c r="C1023">
        <v>10.25</v>
      </c>
      <c r="D1023">
        <v>10.75</v>
      </c>
      <c r="E1023">
        <v>11</v>
      </c>
      <c r="F1023">
        <v>8.5</v>
      </c>
      <c r="G1023">
        <v>9</v>
      </c>
      <c r="H1023">
        <v>9</v>
      </c>
      <c r="I1023">
        <v>8.25</v>
      </c>
      <c r="K1023">
        <v>6.75</v>
      </c>
    </row>
    <row r="1024" spans="1:11" x14ac:dyDescent="0.35">
      <c r="A1024" s="204">
        <v>31539</v>
      </c>
      <c r="B1024" s="544">
        <v>10.75</v>
      </c>
      <c r="C1024">
        <v>9.75</v>
      </c>
      <c r="D1024">
        <v>10.5</v>
      </c>
      <c r="E1024">
        <v>10.5</v>
      </c>
      <c r="F1024">
        <v>8.25</v>
      </c>
      <c r="G1024">
        <v>8.75</v>
      </c>
      <c r="H1024">
        <v>8.75</v>
      </c>
      <c r="I1024">
        <v>7.75</v>
      </c>
      <c r="K1024">
        <v>6.25</v>
      </c>
    </row>
    <row r="1025" spans="1:11" x14ac:dyDescent="0.35">
      <c r="A1025" s="204">
        <v>31546</v>
      </c>
      <c r="B1025" s="544">
        <v>10.75</v>
      </c>
      <c r="C1025">
        <v>9.75</v>
      </c>
      <c r="D1025">
        <v>10.5</v>
      </c>
      <c r="E1025">
        <v>10.5</v>
      </c>
      <c r="F1025">
        <v>8.25</v>
      </c>
      <c r="G1025">
        <v>8.75</v>
      </c>
      <c r="H1025">
        <v>8.75</v>
      </c>
      <c r="I1025">
        <v>7.75</v>
      </c>
      <c r="K1025">
        <v>6.25</v>
      </c>
    </row>
    <row r="1026" spans="1:11" x14ac:dyDescent="0.35">
      <c r="A1026" s="204">
        <v>31553</v>
      </c>
      <c r="B1026" s="544">
        <v>10.25</v>
      </c>
      <c r="C1026">
        <v>9.75</v>
      </c>
      <c r="D1026">
        <v>10.5</v>
      </c>
      <c r="E1026">
        <v>10.5</v>
      </c>
      <c r="F1026">
        <v>8.25</v>
      </c>
      <c r="G1026">
        <v>8.75</v>
      </c>
      <c r="H1026">
        <v>8.75</v>
      </c>
      <c r="I1026">
        <v>7.75</v>
      </c>
      <c r="K1026">
        <v>5.75</v>
      </c>
    </row>
    <row r="1027" spans="1:11" x14ac:dyDescent="0.35">
      <c r="A1027" s="204">
        <v>31560</v>
      </c>
      <c r="B1027" s="544">
        <v>10.25</v>
      </c>
      <c r="C1027">
        <v>9.75</v>
      </c>
      <c r="D1027">
        <v>10.5</v>
      </c>
      <c r="E1027">
        <v>10.5</v>
      </c>
      <c r="F1027">
        <v>8.25</v>
      </c>
      <c r="G1027">
        <v>8.75</v>
      </c>
      <c r="H1027">
        <v>8.75</v>
      </c>
      <c r="I1027">
        <v>7.75</v>
      </c>
      <c r="K1027">
        <v>5.75</v>
      </c>
    </row>
    <row r="1028" spans="1:11" x14ac:dyDescent="0.35">
      <c r="A1028" s="204">
        <v>31567</v>
      </c>
      <c r="B1028" s="544">
        <v>10.25</v>
      </c>
      <c r="C1028">
        <v>9.75</v>
      </c>
      <c r="D1028">
        <v>10.5</v>
      </c>
      <c r="E1028">
        <v>10.5</v>
      </c>
      <c r="F1028">
        <v>8.25</v>
      </c>
      <c r="G1028">
        <v>9</v>
      </c>
      <c r="H1028">
        <v>9.25</v>
      </c>
      <c r="I1028">
        <v>7.75</v>
      </c>
      <c r="K1028">
        <v>5.75</v>
      </c>
    </row>
    <row r="1029" spans="1:11" x14ac:dyDescent="0.35">
      <c r="A1029" s="204">
        <v>31574</v>
      </c>
      <c r="B1029" s="544">
        <v>10.25</v>
      </c>
      <c r="C1029">
        <v>9.75</v>
      </c>
      <c r="D1029">
        <v>10.5</v>
      </c>
      <c r="E1029">
        <v>11</v>
      </c>
      <c r="F1029">
        <v>8.25</v>
      </c>
      <c r="G1029">
        <v>9</v>
      </c>
      <c r="H1029">
        <v>9.5</v>
      </c>
      <c r="I1029">
        <v>7.75</v>
      </c>
      <c r="K1029">
        <v>5.75</v>
      </c>
    </row>
    <row r="1030" spans="1:11" x14ac:dyDescent="0.35">
      <c r="A1030" s="204">
        <v>31581</v>
      </c>
      <c r="B1030" s="544">
        <v>10.25</v>
      </c>
      <c r="C1030">
        <v>9.75</v>
      </c>
      <c r="D1030">
        <v>10.5</v>
      </c>
      <c r="E1030">
        <v>11</v>
      </c>
      <c r="F1030">
        <v>8.25</v>
      </c>
      <c r="G1030">
        <v>9</v>
      </c>
      <c r="H1030">
        <v>9.5</v>
      </c>
      <c r="I1030">
        <v>7.75</v>
      </c>
      <c r="K1030">
        <v>5.75</v>
      </c>
    </row>
    <row r="1031" spans="1:11" x14ac:dyDescent="0.35">
      <c r="A1031" s="204">
        <v>31588</v>
      </c>
      <c r="B1031" s="544">
        <v>10.25</v>
      </c>
      <c r="C1031">
        <v>9.75</v>
      </c>
      <c r="D1031">
        <v>10.5</v>
      </c>
      <c r="E1031">
        <v>11</v>
      </c>
      <c r="F1031">
        <v>8.25</v>
      </c>
      <c r="G1031">
        <v>9</v>
      </c>
      <c r="H1031">
        <v>9.75</v>
      </c>
      <c r="I1031">
        <v>7.75</v>
      </c>
      <c r="K1031">
        <v>5.75</v>
      </c>
    </row>
    <row r="1032" spans="1:11" x14ac:dyDescent="0.35">
      <c r="A1032" s="204">
        <v>31595</v>
      </c>
      <c r="B1032" s="544">
        <v>10.25</v>
      </c>
      <c r="C1032">
        <v>9.75</v>
      </c>
      <c r="D1032">
        <v>10.5</v>
      </c>
      <c r="E1032">
        <v>11</v>
      </c>
      <c r="F1032">
        <v>8.25</v>
      </c>
      <c r="G1032">
        <v>9</v>
      </c>
      <c r="H1032">
        <v>9.75</v>
      </c>
      <c r="I1032">
        <v>7.75</v>
      </c>
      <c r="K1032">
        <v>5.75</v>
      </c>
    </row>
    <row r="1033" spans="1:11" x14ac:dyDescent="0.35">
      <c r="A1033" s="204">
        <v>31602</v>
      </c>
      <c r="B1033" s="544">
        <v>10.25</v>
      </c>
      <c r="C1033">
        <v>9.75</v>
      </c>
      <c r="D1033">
        <v>10.5</v>
      </c>
      <c r="E1033">
        <v>11</v>
      </c>
      <c r="F1033">
        <v>8.25</v>
      </c>
      <c r="G1033">
        <v>9</v>
      </c>
      <c r="H1033">
        <v>9.5</v>
      </c>
      <c r="I1033">
        <v>7.75</v>
      </c>
      <c r="K1033">
        <v>5.75</v>
      </c>
    </row>
    <row r="1034" spans="1:11" x14ac:dyDescent="0.35">
      <c r="A1034" s="204">
        <v>31609</v>
      </c>
      <c r="B1034" s="544">
        <v>10.25</v>
      </c>
      <c r="C1034">
        <v>9.75</v>
      </c>
      <c r="D1034">
        <v>10.5</v>
      </c>
      <c r="E1034">
        <v>11</v>
      </c>
      <c r="F1034">
        <v>8.25</v>
      </c>
      <c r="G1034">
        <v>9</v>
      </c>
      <c r="H1034">
        <v>9.5</v>
      </c>
      <c r="I1034">
        <v>7.75</v>
      </c>
      <c r="K1034">
        <v>5.75</v>
      </c>
    </row>
    <row r="1035" spans="1:11" x14ac:dyDescent="0.35">
      <c r="A1035" s="204">
        <v>31616</v>
      </c>
      <c r="B1035" s="544">
        <v>9.75</v>
      </c>
      <c r="C1035">
        <v>9.75</v>
      </c>
      <c r="D1035">
        <v>10.5</v>
      </c>
      <c r="E1035">
        <v>11</v>
      </c>
      <c r="F1035">
        <v>8</v>
      </c>
      <c r="G1035">
        <v>9</v>
      </c>
      <c r="H1035">
        <v>9.5</v>
      </c>
      <c r="I1035">
        <v>7.75</v>
      </c>
      <c r="K1035">
        <v>5.25</v>
      </c>
    </row>
    <row r="1036" spans="1:11" x14ac:dyDescent="0.35">
      <c r="A1036" s="204">
        <v>31623</v>
      </c>
      <c r="B1036" s="544">
        <v>9.75</v>
      </c>
      <c r="C1036">
        <v>9.75</v>
      </c>
      <c r="D1036">
        <v>10.5</v>
      </c>
      <c r="E1036">
        <v>11</v>
      </c>
      <c r="F1036">
        <v>8</v>
      </c>
      <c r="G1036">
        <v>9</v>
      </c>
      <c r="H1036">
        <v>9.5</v>
      </c>
      <c r="I1036">
        <v>7.75</v>
      </c>
      <c r="K1036">
        <v>5.25</v>
      </c>
    </row>
    <row r="1037" spans="1:11" x14ac:dyDescent="0.35">
      <c r="A1037" s="204">
        <v>31630</v>
      </c>
      <c r="B1037" s="544">
        <v>9.75</v>
      </c>
      <c r="C1037">
        <v>9.75</v>
      </c>
      <c r="D1037">
        <v>10.5</v>
      </c>
      <c r="E1037">
        <v>11</v>
      </c>
      <c r="F1037">
        <v>8</v>
      </c>
      <c r="G1037">
        <v>9</v>
      </c>
      <c r="H1037">
        <v>9.5</v>
      </c>
      <c r="I1037">
        <v>7.75</v>
      </c>
      <c r="K1037">
        <v>5.25</v>
      </c>
    </row>
    <row r="1038" spans="1:11" x14ac:dyDescent="0.35">
      <c r="A1038" s="204">
        <v>31637</v>
      </c>
      <c r="B1038" s="544">
        <v>9.75</v>
      </c>
      <c r="C1038">
        <v>9.75</v>
      </c>
      <c r="D1038">
        <v>10.5</v>
      </c>
      <c r="E1038">
        <v>11</v>
      </c>
      <c r="F1038">
        <v>8</v>
      </c>
      <c r="G1038">
        <v>9</v>
      </c>
      <c r="H1038">
        <v>9.5</v>
      </c>
      <c r="I1038">
        <v>7.75</v>
      </c>
      <c r="K1038">
        <v>5.25</v>
      </c>
    </row>
    <row r="1039" spans="1:11" x14ac:dyDescent="0.35">
      <c r="A1039" s="204">
        <v>31644</v>
      </c>
      <c r="B1039" s="544">
        <v>9.75</v>
      </c>
      <c r="C1039">
        <v>9.75</v>
      </c>
      <c r="D1039">
        <v>10.5</v>
      </c>
      <c r="E1039">
        <v>11</v>
      </c>
      <c r="F1039">
        <v>8</v>
      </c>
      <c r="G1039">
        <v>9</v>
      </c>
      <c r="H1039">
        <v>9.5</v>
      </c>
      <c r="I1039">
        <v>7.75</v>
      </c>
      <c r="K1039">
        <v>5.25</v>
      </c>
    </row>
    <row r="1040" spans="1:11" x14ac:dyDescent="0.35">
      <c r="A1040" s="204">
        <v>31651</v>
      </c>
      <c r="B1040" s="544">
        <v>9.75</v>
      </c>
      <c r="C1040">
        <v>9.75</v>
      </c>
      <c r="D1040">
        <v>10.5</v>
      </c>
      <c r="E1040">
        <v>11</v>
      </c>
      <c r="F1040">
        <v>8</v>
      </c>
      <c r="G1040">
        <v>9</v>
      </c>
      <c r="H1040">
        <v>9.5</v>
      </c>
      <c r="I1040">
        <v>7.75</v>
      </c>
      <c r="K1040">
        <v>5.25</v>
      </c>
    </row>
    <row r="1041" spans="1:11" x14ac:dyDescent="0.35">
      <c r="A1041" s="204">
        <v>31658</v>
      </c>
      <c r="B1041" s="544">
        <v>9.75</v>
      </c>
      <c r="C1041">
        <v>9.75</v>
      </c>
      <c r="D1041">
        <v>10.5</v>
      </c>
      <c r="E1041">
        <v>11</v>
      </c>
      <c r="F1041">
        <v>8</v>
      </c>
      <c r="G1041">
        <v>9</v>
      </c>
      <c r="H1041">
        <v>9.5</v>
      </c>
      <c r="I1041">
        <v>7.75</v>
      </c>
      <c r="K1041">
        <v>5.25</v>
      </c>
    </row>
    <row r="1042" spans="1:11" x14ac:dyDescent="0.35">
      <c r="A1042" s="204">
        <v>31665</v>
      </c>
      <c r="B1042" s="544">
        <v>9.75</v>
      </c>
      <c r="C1042">
        <v>9.75</v>
      </c>
      <c r="D1042">
        <v>10.5</v>
      </c>
      <c r="E1042">
        <v>11</v>
      </c>
      <c r="F1042">
        <v>8</v>
      </c>
      <c r="G1042">
        <v>9</v>
      </c>
      <c r="H1042">
        <v>9.5</v>
      </c>
      <c r="I1042">
        <v>7.75</v>
      </c>
      <c r="K1042">
        <v>5.25</v>
      </c>
    </row>
    <row r="1043" spans="1:11" x14ac:dyDescent="0.35">
      <c r="A1043" s="204">
        <v>31672</v>
      </c>
      <c r="B1043" s="544">
        <v>9.75</v>
      </c>
      <c r="C1043">
        <v>9.75</v>
      </c>
      <c r="D1043">
        <v>10.5</v>
      </c>
      <c r="E1043">
        <v>11.25</v>
      </c>
      <c r="F1043">
        <v>8</v>
      </c>
      <c r="G1043">
        <v>9</v>
      </c>
      <c r="H1043">
        <v>9.75</v>
      </c>
      <c r="I1043">
        <v>7.75</v>
      </c>
      <c r="K1043">
        <v>5.25</v>
      </c>
    </row>
    <row r="1044" spans="1:11" x14ac:dyDescent="0.35">
      <c r="A1044" s="204">
        <v>31679</v>
      </c>
      <c r="B1044" s="544">
        <v>9.75</v>
      </c>
      <c r="C1044">
        <v>9.75</v>
      </c>
      <c r="D1044">
        <v>10.5</v>
      </c>
      <c r="E1044">
        <v>11.25</v>
      </c>
      <c r="F1044">
        <v>8</v>
      </c>
      <c r="G1044">
        <v>9</v>
      </c>
      <c r="H1044">
        <v>9.75</v>
      </c>
      <c r="I1044">
        <v>7.75</v>
      </c>
      <c r="K1044">
        <v>5.25</v>
      </c>
    </row>
    <row r="1045" spans="1:11" x14ac:dyDescent="0.35">
      <c r="A1045" s="204">
        <v>31686</v>
      </c>
      <c r="B1045" s="544">
        <v>9.75</v>
      </c>
      <c r="C1045">
        <v>9.75</v>
      </c>
      <c r="D1045">
        <v>10.5</v>
      </c>
      <c r="E1045">
        <v>11.25</v>
      </c>
      <c r="F1045">
        <v>8</v>
      </c>
      <c r="G1045">
        <v>9</v>
      </c>
      <c r="H1045">
        <v>9.75</v>
      </c>
      <c r="I1045">
        <v>7.75</v>
      </c>
      <c r="K1045">
        <v>5.25</v>
      </c>
    </row>
    <row r="1046" spans="1:11" x14ac:dyDescent="0.35">
      <c r="A1046" s="204">
        <v>31693</v>
      </c>
      <c r="B1046" s="544">
        <v>9.75</v>
      </c>
      <c r="C1046">
        <v>9.75</v>
      </c>
      <c r="D1046">
        <v>10.75</v>
      </c>
      <c r="E1046">
        <v>11.25</v>
      </c>
      <c r="F1046">
        <v>8</v>
      </c>
      <c r="G1046">
        <v>9</v>
      </c>
      <c r="H1046">
        <v>9.75</v>
      </c>
      <c r="I1046">
        <v>7.75</v>
      </c>
      <c r="K1046">
        <v>5.25</v>
      </c>
    </row>
    <row r="1047" spans="1:11" x14ac:dyDescent="0.35">
      <c r="A1047" s="204">
        <v>31700</v>
      </c>
      <c r="B1047" s="544">
        <v>9.75</v>
      </c>
      <c r="C1047">
        <v>9.75</v>
      </c>
      <c r="D1047">
        <v>10.75</v>
      </c>
      <c r="E1047">
        <v>11.25</v>
      </c>
      <c r="F1047">
        <v>8</v>
      </c>
      <c r="G1047">
        <v>9</v>
      </c>
      <c r="H1047">
        <v>9.75</v>
      </c>
      <c r="I1047">
        <v>7.75</v>
      </c>
      <c r="K1047">
        <v>5.25</v>
      </c>
    </row>
    <row r="1048" spans="1:11" x14ac:dyDescent="0.35">
      <c r="A1048" s="204">
        <v>31707</v>
      </c>
      <c r="B1048" s="544">
        <v>9.75</v>
      </c>
      <c r="C1048">
        <v>9.75</v>
      </c>
      <c r="D1048">
        <v>10.75</v>
      </c>
      <c r="E1048">
        <v>11.25</v>
      </c>
      <c r="F1048">
        <v>8</v>
      </c>
      <c r="G1048">
        <v>9</v>
      </c>
      <c r="H1048">
        <v>9.75</v>
      </c>
      <c r="I1048">
        <v>7.75</v>
      </c>
      <c r="K1048">
        <v>5.25</v>
      </c>
    </row>
    <row r="1049" spans="1:11" x14ac:dyDescent="0.35">
      <c r="A1049" s="204">
        <v>31714</v>
      </c>
      <c r="B1049" s="544">
        <v>9.75</v>
      </c>
      <c r="C1049">
        <v>9.75</v>
      </c>
      <c r="D1049">
        <v>10.75</v>
      </c>
      <c r="E1049">
        <v>11.25</v>
      </c>
      <c r="F1049">
        <v>8</v>
      </c>
      <c r="G1049">
        <v>9</v>
      </c>
      <c r="H1049">
        <v>9.75</v>
      </c>
      <c r="I1049">
        <v>7.75</v>
      </c>
      <c r="K1049">
        <v>5.25</v>
      </c>
    </row>
    <row r="1050" spans="1:11" x14ac:dyDescent="0.35">
      <c r="A1050" s="204">
        <v>31721</v>
      </c>
      <c r="B1050" s="544">
        <v>9.75</v>
      </c>
      <c r="C1050">
        <v>9.75</v>
      </c>
      <c r="D1050">
        <v>10.75</v>
      </c>
      <c r="E1050">
        <v>11.25</v>
      </c>
      <c r="F1050">
        <v>8</v>
      </c>
      <c r="G1050">
        <v>9</v>
      </c>
      <c r="H1050">
        <v>9.75</v>
      </c>
      <c r="I1050">
        <v>7.75</v>
      </c>
      <c r="K1050">
        <v>5.25</v>
      </c>
    </row>
    <row r="1051" spans="1:11" x14ac:dyDescent="0.35">
      <c r="A1051" s="204">
        <v>31728</v>
      </c>
      <c r="B1051" s="544">
        <v>9.75</v>
      </c>
      <c r="C1051">
        <v>9.75</v>
      </c>
      <c r="D1051">
        <v>10.75</v>
      </c>
      <c r="E1051">
        <v>11.25</v>
      </c>
      <c r="F1051">
        <v>8</v>
      </c>
      <c r="G1051">
        <v>9</v>
      </c>
      <c r="H1051">
        <v>9.75</v>
      </c>
      <c r="I1051">
        <v>7.75</v>
      </c>
      <c r="K1051">
        <v>5.25</v>
      </c>
    </row>
    <row r="1052" spans="1:11" x14ac:dyDescent="0.35">
      <c r="A1052" s="204">
        <v>31735</v>
      </c>
      <c r="B1052" s="544">
        <v>9.75</v>
      </c>
      <c r="C1052">
        <v>9.75</v>
      </c>
      <c r="D1052">
        <v>10.75</v>
      </c>
      <c r="E1052">
        <v>11.25</v>
      </c>
      <c r="F1052">
        <v>8</v>
      </c>
      <c r="G1052">
        <v>9</v>
      </c>
      <c r="H1052">
        <v>9.75</v>
      </c>
      <c r="I1052">
        <v>7.75</v>
      </c>
      <c r="K1052">
        <v>5.25</v>
      </c>
    </row>
    <row r="1053" spans="1:11" x14ac:dyDescent="0.35">
      <c r="A1053" s="204">
        <v>31742</v>
      </c>
      <c r="B1053" s="544">
        <v>9.75</v>
      </c>
      <c r="C1053">
        <v>9.75</v>
      </c>
      <c r="D1053">
        <v>10.75</v>
      </c>
      <c r="E1053">
        <v>11.25</v>
      </c>
      <c r="F1053">
        <v>8</v>
      </c>
      <c r="G1053">
        <v>9</v>
      </c>
      <c r="H1053">
        <v>9.5</v>
      </c>
      <c r="I1053">
        <v>7.75</v>
      </c>
      <c r="K1053">
        <v>5.25</v>
      </c>
    </row>
    <row r="1054" spans="1:11" x14ac:dyDescent="0.35">
      <c r="A1054" s="204">
        <v>31749</v>
      </c>
      <c r="B1054" s="544">
        <v>9.75</v>
      </c>
      <c r="C1054">
        <v>9.75</v>
      </c>
      <c r="D1054">
        <v>10.75</v>
      </c>
      <c r="E1054">
        <v>11.25</v>
      </c>
      <c r="F1054">
        <v>8</v>
      </c>
      <c r="G1054">
        <v>9</v>
      </c>
      <c r="H1054">
        <v>9.5</v>
      </c>
      <c r="I1054">
        <v>7.75</v>
      </c>
      <c r="K1054">
        <v>5.25</v>
      </c>
    </row>
    <row r="1055" spans="1:11" x14ac:dyDescent="0.35">
      <c r="A1055" s="204">
        <v>31756</v>
      </c>
      <c r="B1055" s="544">
        <v>9.75</v>
      </c>
      <c r="C1055">
        <v>9.75</v>
      </c>
      <c r="D1055">
        <v>10.75</v>
      </c>
      <c r="E1055">
        <v>11.25</v>
      </c>
      <c r="F1055">
        <v>7.75</v>
      </c>
      <c r="G1055">
        <v>9</v>
      </c>
      <c r="H1055">
        <v>9.5</v>
      </c>
      <c r="I1055">
        <v>7.75</v>
      </c>
      <c r="K1055">
        <v>5.25</v>
      </c>
    </row>
    <row r="1056" spans="1:11" x14ac:dyDescent="0.35">
      <c r="A1056" s="204">
        <v>31763</v>
      </c>
      <c r="B1056" s="544">
        <v>9.75</v>
      </c>
      <c r="C1056">
        <v>9.75</v>
      </c>
      <c r="D1056">
        <v>10.75</v>
      </c>
      <c r="E1056">
        <v>11.25</v>
      </c>
      <c r="F1056">
        <v>7.75</v>
      </c>
      <c r="G1056">
        <v>9</v>
      </c>
      <c r="H1056">
        <v>9.5</v>
      </c>
      <c r="I1056">
        <v>7.75</v>
      </c>
      <c r="K1056">
        <v>5.25</v>
      </c>
    </row>
    <row r="1057" spans="1:11" x14ac:dyDescent="0.35">
      <c r="A1057" s="204">
        <v>31770</v>
      </c>
      <c r="B1057" s="544">
        <v>9.75</v>
      </c>
      <c r="C1057">
        <v>9.75</v>
      </c>
      <c r="D1057">
        <v>10.75</v>
      </c>
      <c r="E1057">
        <v>11</v>
      </c>
      <c r="F1057">
        <v>7.75</v>
      </c>
      <c r="G1057">
        <v>9</v>
      </c>
      <c r="H1057">
        <v>9.25</v>
      </c>
      <c r="I1057">
        <v>7.75</v>
      </c>
      <c r="K1057">
        <v>5.25</v>
      </c>
    </row>
    <row r="1058" spans="1:11" x14ac:dyDescent="0.35">
      <c r="A1058" s="204">
        <v>31777</v>
      </c>
      <c r="B1058" s="544">
        <v>9.75</v>
      </c>
      <c r="C1058">
        <v>9.75</v>
      </c>
      <c r="D1058">
        <v>10.75</v>
      </c>
      <c r="E1058">
        <v>11</v>
      </c>
      <c r="F1058">
        <v>7.75</v>
      </c>
      <c r="G1058">
        <v>9</v>
      </c>
      <c r="H1058">
        <v>9.25</v>
      </c>
      <c r="I1058">
        <v>7.75</v>
      </c>
      <c r="K1058">
        <v>5.25</v>
      </c>
    </row>
    <row r="1059" spans="1:11" x14ac:dyDescent="0.35">
      <c r="A1059" s="204">
        <v>31784</v>
      </c>
      <c r="B1059" s="544">
        <v>9.75</v>
      </c>
      <c r="C1059">
        <v>9.75</v>
      </c>
      <c r="D1059">
        <v>10.75</v>
      </c>
      <c r="E1059">
        <v>11</v>
      </c>
      <c r="F1059">
        <v>7.75</v>
      </c>
      <c r="G1059">
        <v>9</v>
      </c>
      <c r="H1059">
        <v>9.25</v>
      </c>
      <c r="I1059">
        <v>7.75</v>
      </c>
      <c r="K1059">
        <v>5.25</v>
      </c>
    </row>
    <row r="1060" spans="1:11" x14ac:dyDescent="0.35">
      <c r="A1060" s="204">
        <v>31791</v>
      </c>
      <c r="B1060" s="544">
        <v>9.75</v>
      </c>
      <c r="C1060">
        <v>9.5</v>
      </c>
      <c r="D1060">
        <v>10.5</v>
      </c>
      <c r="E1060">
        <v>10.75</v>
      </c>
      <c r="F1060">
        <v>7.5</v>
      </c>
      <c r="G1060">
        <v>8.75</v>
      </c>
      <c r="H1060">
        <v>9</v>
      </c>
      <c r="I1060">
        <v>7.75</v>
      </c>
      <c r="K1060">
        <v>5.25</v>
      </c>
    </row>
    <row r="1061" spans="1:11" x14ac:dyDescent="0.35">
      <c r="A1061" s="204">
        <v>31798</v>
      </c>
      <c r="B1061" s="544">
        <v>9.75</v>
      </c>
      <c r="C1061">
        <v>9.5</v>
      </c>
      <c r="D1061">
        <v>10.5</v>
      </c>
      <c r="E1061">
        <v>10.75</v>
      </c>
      <c r="F1061">
        <v>7.5</v>
      </c>
      <c r="G1061">
        <v>8.75</v>
      </c>
      <c r="H1061">
        <v>9</v>
      </c>
      <c r="I1061">
        <v>7.75</v>
      </c>
      <c r="K1061">
        <v>5.25</v>
      </c>
    </row>
    <row r="1062" spans="1:11" x14ac:dyDescent="0.35">
      <c r="A1062" s="204">
        <v>31805</v>
      </c>
      <c r="B1062" s="544">
        <v>9.25</v>
      </c>
      <c r="C1062">
        <v>9.25</v>
      </c>
      <c r="D1062">
        <v>10.25</v>
      </c>
      <c r="E1062">
        <v>10.5</v>
      </c>
      <c r="F1062">
        <v>7.25</v>
      </c>
      <c r="G1062">
        <v>8.5</v>
      </c>
      <c r="H1062">
        <v>8.75</v>
      </c>
      <c r="I1062">
        <v>7.25</v>
      </c>
      <c r="K1062">
        <v>4.75</v>
      </c>
    </row>
    <row r="1063" spans="1:11" x14ac:dyDescent="0.35">
      <c r="A1063" s="204">
        <v>31812</v>
      </c>
      <c r="B1063" s="544">
        <v>9.25</v>
      </c>
      <c r="C1063">
        <v>9.25</v>
      </c>
      <c r="D1063">
        <v>10.25</v>
      </c>
      <c r="E1063">
        <v>10.5</v>
      </c>
      <c r="F1063">
        <v>7.25</v>
      </c>
      <c r="G1063">
        <v>8.25</v>
      </c>
      <c r="H1063">
        <v>8.75</v>
      </c>
      <c r="I1063">
        <v>7.25</v>
      </c>
      <c r="K1063">
        <v>4.75</v>
      </c>
    </row>
    <row r="1064" spans="1:11" x14ac:dyDescent="0.35">
      <c r="A1064" s="204">
        <v>31819</v>
      </c>
      <c r="B1064" s="544">
        <v>9.25</v>
      </c>
      <c r="C1064">
        <v>9.25</v>
      </c>
      <c r="D1064">
        <v>10.25</v>
      </c>
      <c r="E1064">
        <v>10.5</v>
      </c>
      <c r="F1064">
        <v>7</v>
      </c>
      <c r="G1064">
        <v>8.25</v>
      </c>
      <c r="H1064">
        <v>8.5</v>
      </c>
      <c r="I1064">
        <v>7.25</v>
      </c>
      <c r="K1064">
        <v>4.75</v>
      </c>
    </row>
    <row r="1065" spans="1:11" x14ac:dyDescent="0.35">
      <c r="A1065" s="204">
        <v>31826</v>
      </c>
      <c r="B1065" s="544">
        <v>9.25</v>
      </c>
      <c r="C1065">
        <v>9.25</v>
      </c>
      <c r="D1065">
        <v>10.25</v>
      </c>
      <c r="E1065">
        <v>10.5</v>
      </c>
      <c r="F1065">
        <v>7</v>
      </c>
      <c r="G1065">
        <v>8.25</v>
      </c>
      <c r="H1065">
        <v>8.5</v>
      </c>
      <c r="I1065">
        <v>7.25</v>
      </c>
      <c r="K1065">
        <v>4.75</v>
      </c>
    </row>
    <row r="1066" spans="1:11" x14ac:dyDescent="0.35">
      <c r="A1066" s="204">
        <v>31833</v>
      </c>
      <c r="B1066" s="544">
        <v>9.25</v>
      </c>
      <c r="C1066">
        <v>9.25</v>
      </c>
      <c r="D1066">
        <v>10.25</v>
      </c>
      <c r="E1066">
        <v>10.5</v>
      </c>
      <c r="F1066">
        <v>7</v>
      </c>
      <c r="G1066">
        <v>8.25</v>
      </c>
      <c r="H1066">
        <v>8.5</v>
      </c>
      <c r="I1066">
        <v>7.25</v>
      </c>
      <c r="K1066">
        <v>4.75</v>
      </c>
    </row>
    <row r="1067" spans="1:11" x14ac:dyDescent="0.35">
      <c r="A1067" s="204">
        <v>31840</v>
      </c>
      <c r="B1067" s="544">
        <v>9.25</v>
      </c>
      <c r="C1067">
        <v>9.25</v>
      </c>
      <c r="D1067">
        <v>10</v>
      </c>
      <c r="E1067">
        <v>10.25</v>
      </c>
      <c r="F1067">
        <v>7</v>
      </c>
      <c r="G1067">
        <v>8.25</v>
      </c>
      <c r="H1067">
        <v>8.5</v>
      </c>
      <c r="I1067">
        <v>7.25</v>
      </c>
      <c r="K1067">
        <v>4.75</v>
      </c>
    </row>
    <row r="1068" spans="1:11" x14ac:dyDescent="0.35">
      <c r="A1068" s="204">
        <v>31847</v>
      </c>
      <c r="B1068" s="544">
        <v>9.25</v>
      </c>
      <c r="C1068">
        <v>9.25</v>
      </c>
      <c r="D1068">
        <v>10</v>
      </c>
      <c r="E1068">
        <v>10.25</v>
      </c>
      <c r="F1068">
        <v>7</v>
      </c>
      <c r="G1068">
        <v>8.25</v>
      </c>
      <c r="H1068">
        <v>8.5</v>
      </c>
      <c r="I1068">
        <v>7.25</v>
      </c>
      <c r="K1068">
        <v>4.75</v>
      </c>
    </row>
    <row r="1069" spans="1:11" x14ac:dyDescent="0.35">
      <c r="A1069" s="204">
        <v>31854</v>
      </c>
      <c r="B1069" s="544">
        <v>8.75</v>
      </c>
      <c r="C1069">
        <v>9.25</v>
      </c>
      <c r="D1069">
        <v>10</v>
      </c>
      <c r="E1069">
        <v>10.25</v>
      </c>
      <c r="F1069">
        <v>7</v>
      </c>
      <c r="G1069">
        <v>8.25</v>
      </c>
      <c r="H1069">
        <v>8.5</v>
      </c>
      <c r="I1069">
        <v>7</v>
      </c>
      <c r="K1069">
        <v>4.25</v>
      </c>
    </row>
    <row r="1070" spans="1:11" x14ac:dyDescent="0.35">
      <c r="A1070" s="204">
        <v>31861</v>
      </c>
      <c r="B1070" s="544">
        <v>8.75</v>
      </c>
      <c r="C1070">
        <v>9</v>
      </c>
      <c r="D1070">
        <v>9.75</v>
      </c>
      <c r="E1070">
        <v>10</v>
      </c>
      <c r="F1070">
        <v>6.75</v>
      </c>
      <c r="G1070">
        <v>8</v>
      </c>
      <c r="H1070">
        <v>8.25</v>
      </c>
      <c r="I1070">
        <v>6.75</v>
      </c>
      <c r="K1070">
        <v>4.25</v>
      </c>
    </row>
    <row r="1071" spans="1:11" x14ac:dyDescent="0.35">
      <c r="A1071" s="204">
        <v>31868</v>
      </c>
      <c r="B1071" s="544">
        <v>8.75</v>
      </c>
      <c r="C1071">
        <v>9</v>
      </c>
      <c r="D1071">
        <v>9.75</v>
      </c>
      <c r="E1071">
        <v>10</v>
      </c>
      <c r="F1071">
        <v>6.75</v>
      </c>
      <c r="G1071">
        <v>8</v>
      </c>
      <c r="H1071">
        <v>8.25</v>
      </c>
      <c r="I1071">
        <v>6.75</v>
      </c>
      <c r="K1071">
        <v>4.25</v>
      </c>
    </row>
    <row r="1072" spans="1:11" x14ac:dyDescent="0.35">
      <c r="A1072" s="204">
        <v>31875</v>
      </c>
      <c r="B1072" s="544">
        <v>8.75</v>
      </c>
      <c r="C1072">
        <v>9</v>
      </c>
      <c r="D1072">
        <v>9.75</v>
      </c>
      <c r="E1072">
        <v>10</v>
      </c>
      <c r="F1072">
        <v>6.75</v>
      </c>
      <c r="G1072">
        <v>8</v>
      </c>
      <c r="H1072">
        <v>8.25</v>
      </c>
      <c r="I1072">
        <v>6.75</v>
      </c>
      <c r="K1072">
        <v>4.25</v>
      </c>
    </row>
    <row r="1073" spans="1:11" x14ac:dyDescent="0.35">
      <c r="A1073" s="204">
        <v>31882</v>
      </c>
      <c r="B1073" s="544">
        <v>8.75</v>
      </c>
      <c r="C1073">
        <v>9</v>
      </c>
      <c r="D1073">
        <v>10</v>
      </c>
      <c r="E1073">
        <v>10.5</v>
      </c>
      <c r="F1073">
        <v>6.75</v>
      </c>
      <c r="G1073">
        <v>8</v>
      </c>
      <c r="H1073">
        <v>8.25</v>
      </c>
      <c r="I1073">
        <v>6.75</v>
      </c>
      <c r="K1073">
        <v>4.25</v>
      </c>
    </row>
    <row r="1074" spans="1:11" x14ac:dyDescent="0.35">
      <c r="A1074" s="204">
        <v>31889</v>
      </c>
      <c r="B1074" s="544">
        <v>8.75</v>
      </c>
      <c r="C1074">
        <v>9.25</v>
      </c>
      <c r="D1074">
        <v>10.25</v>
      </c>
      <c r="E1074">
        <v>10.75</v>
      </c>
      <c r="F1074">
        <v>7</v>
      </c>
      <c r="G1074">
        <v>8.25</v>
      </c>
      <c r="H1074">
        <v>8.75</v>
      </c>
      <c r="I1074">
        <v>6.75</v>
      </c>
      <c r="K1074">
        <v>4.25</v>
      </c>
    </row>
    <row r="1075" spans="1:11" x14ac:dyDescent="0.35">
      <c r="A1075" s="204">
        <v>31896</v>
      </c>
      <c r="B1075" s="544">
        <v>9.25</v>
      </c>
      <c r="C1075">
        <v>9.5</v>
      </c>
      <c r="D1075">
        <v>10.25</v>
      </c>
      <c r="E1075">
        <v>11</v>
      </c>
      <c r="F1075">
        <v>7.25</v>
      </c>
      <c r="G1075">
        <v>8.5</v>
      </c>
      <c r="H1075">
        <v>9</v>
      </c>
      <c r="I1075">
        <v>7</v>
      </c>
      <c r="K1075">
        <v>4.75</v>
      </c>
    </row>
    <row r="1076" spans="1:11" x14ac:dyDescent="0.35">
      <c r="A1076" s="204">
        <v>31903</v>
      </c>
      <c r="B1076" s="544">
        <v>9.25</v>
      </c>
      <c r="C1076">
        <v>9.5</v>
      </c>
      <c r="D1076">
        <v>10.25</v>
      </c>
      <c r="E1076">
        <v>11</v>
      </c>
      <c r="F1076">
        <v>7.25</v>
      </c>
      <c r="G1076">
        <v>8.5</v>
      </c>
      <c r="H1076">
        <v>9</v>
      </c>
      <c r="I1076">
        <v>7</v>
      </c>
      <c r="K1076">
        <v>4.75</v>
      </c>
    </row>
    <row r="1077" spans="1:11" x14ac:dyDescent="0.35">
      <c r="A1077" s="204">
        <v>31910</v>
      </c>
      <c r="B1077" s="544">
        <v>9.25</v>
      </c>
      <c r="C1077">
        <v>9.5</v>
      </c>
      <c r="D1077">
        <v>10.25</v>
      </c>
      <c r="E1077">
        <v>11</v>
      </c>
      <c r="F1077">
        <v>7.5</v>
      </c>
      <c r="G1077">
        <v>8.75</v>
      </c>
      <c r="H1077">
        <v>9.25</v>
      </c>
      <c r="I1077">
        <v>7</v>
      </c>
      <c r="K1077">
        <v>4.75</v>
      </c>
    </row>
    <row r="1078" spans="1:11" x14ac:dyDescent="0.35">
      <c r="A1078" s="204">
        <v>31917</v>
      </c>
      <c r="B1078" s="544">
        <v>9.25</v>
      </c>
      <c r="C1078">
        <v>9.5</v>
      </c>
      <c r="D1078">
        <v>10.25</v>
      </c>
      <c r="E1078">
        <v>11</v>
      </c>
      <c r="F1078">
        <v>7.75</v>
      </c>
      <c r="G1078">
        <v>8.75</v>
      </c>
      <c r="H1078">
        <v>9.25</v>
      </c>
      <c r="I1078">
        <v>7</v>
      </c>
      <c r="K1078">
        <v>4.75</v>
      </c>
    </row>
    <row r="1079" spans="1:11" x14ac:dyDescent="0.35">
      <c r="A1079" s="204">
        <v>31924</v>
      </c>
      <c r="B1079" s="544">
        <v>9.5</v>
      </c>
      <c r="C1079">
        <v>9.75</v>
      </c>
      <c r="D1079">
        <v>10.5</v>
      </c>
      <c r="E1079">
        <v>11.25</v>
      </c>
      <c r="F1079">
        <v>7.75</v>
      </c>
      <c r="G1079">
        <v>8.75</v>
      </c>
      <c r="H1079">
        <v>9.5</v>
      </c>
      <c r="I1079">
        <v>7</v>
      </c>
      <c r="K1079">
        <v>4.75</v>
      </c>
    </row>
    <row r="1080" spans="1:11" x14ac:dyDescent="0.35">
      <c r="A1080" s="204">
        <v>31931</v>
      </c>
      <c r="B1080" s="544">
        <v>9.5</v>
      </c>
      <c r="C1080">
        <v>9.75</v>
      </c>
      <c r="D1080">
        <v>10.75</v>
      </c>
      <c r="E1080">
        <v>11.25</v>
      </c>
      <c r="F1080">
        <v>7.75</v>
      </c>
      <c r="G1080">
        <v>8.75</v>
      </c>
      <c r="H1080">
        <v>9.5</v>
      </c>
      <c r="I1080">
        <v>7</v>
      </c>
      <c r="K1080">
        <v>4.75</v>
      </c>
    </row>
    <row r="1081" spans="1:11" x14ac:dyDescent="0.35">
      <c r="A1081" s="204">
        <v>31938</v>
      </c>
      <c r="B1081" s="544">
        <v>9.5</v>
      </c>
      <c r="C1081">
        <v>9.75</v>
      </c>
      <c r="D1081">
        <v>10.75</v>
      </c>
      <c r="E1081">
        <v>11.25</v>
      </c>
      <c r="F1081">
        <v>7.75</v>
      </c>
      <c r="G1081">
        <v>9</v>
      </c>
      <c r="H1081">
        <v>9.5</v>
      </c>
      <c r="I1081">
        <v>7</v>
      </c>
      <c r="K1081">
        <v>4.75</v>
      </c>
    </row>
    <row r="1082" spans="1:11" x14ac:dyDescent="0.35">
      <c r="A1082" s="204">
        <v>31945</v>
      </c>
      <c r="B1082" s="544">
        <v>9.5</v>
      </c>
      <c r="C1082">
        <v>9.75</v>
      </c>
      <c r="D1082">
        <v>10.75</v>
      </c>
      <c r="E1082">
        <v>11.25</v>
      </c>
      <c r="F1082">
        <v>7.75</v>
      </c>
      <c r="G1082">
        <v>9</v>
      </c>
      <c r="H1082">
        <v>9.5</v>
      </c>
      <c r="I1082">
        <v>7</v>
      </c>
      <c r="K1082">
        <v>4.75</v>
      </c>
    </row>
    <row r="1083" spans="1:11" x14ac:dyDescent="0.35">
      <c r="A1083" s="204">
        <v>31952</v>
      </c>
      <c r="B1083" s="544">
        <v>9.5</v>
      </c>
      <c r="C1083">
        <v>9.75</v>
      </c>
      <c r="D1083">
        <v>10.75</v>
      </c>
      <c r="E1083">
        <v>11.25</v>
      </c>
      <c r="F1083">
        <v>7.75</v>
      </c>
      <c r="G1083">
        <v>9</v>
      </c>
      <c r="H1083">
        <v>9.5</v>
      </c>
      <c r="I1083">
        <v>7</v>
      </c>
      <c r="K1083">
        <v>4.75</v>
      </c>
    </row>
    <row r="1084" spans="1:11" x14ac:dyDescent="0.35">
      <c r="A1084" s="204">
        <v>31959</v>
      </c>
      <c r="B1084" s="544">
        <v>9.5</v>
      </c>
      <c r="C1084">
        <v>9.75</v>
      </c>
      <c r="D1084">
        <v>10.75</v>
      </c>
      <c r="E1084">
        <v>11.25</v>
      </c>
      <c r="F1084">
        <v>7.75</v>
      </c>
      <c r="G1084">
        <v>9</v>
      </c>
      <c r="H1084">
        <v>9.5</v>
      </c>
      <c r="I1084">
        <v>7</v>
      </c>
      <c r="K1084">
        <v>4.75</v>
      </c>
    </row>
    <row r="1085" spans="1:11" x14ac:dyDescent="0.35">
      <c r="A1085" s="204">
        <v>31966</v>
      </c>
      <c r="B1085" s="544">
        <v>9.5</v>
      </c>
      <c r="C1085">
        <v>9.75</v>
      </c>
      <c r="D1085">
        <v>10.75</v>
      </c>
      <c r="E1085">
        <v>11.25</v>
      </c>
      <c r="F1085">
        <v>7.75</v>
      </c>
      <c r="G1085">
        <v>9</v>
      </c>
      <c r="H1085">
        <v>9.5</v>
      </c>
      <c r="I1085">
        <v>7</v>
      </c>
      <c r="K1085">
        <v>4.75</v>
      </c>
    </row>
    <row r="1086" spans="1:11" x14ac:dyDescent="0.35">
      <c r="A1086" s="204">
        <v>31973</v>
      </c>
      <c r="B1086" s="544">
        <v>9.5</v>
      </c>
      <c r="C1086">
        <v>9.75</v>
      </c>
      <c r="D1086">
        <v>10.75</v>
      </c>
      <c r="E1086">
        <v>11.25</v>
      </c>
      <c r="F1086">
        <v>7.75</v>
      </c>
      <c r="G1086">
        <v>9</v>
      </c>
      <c r="H1086">
        <v>9.5</v>
      </c>
      <c r="I1086">
        <v>7</v>
      </c>
      <c r="K1086">
        <v>4.75</v>
      </c>
    </row>
    <row r="1087" spans="1:11" x14ac:dyDescent="0.35">
      <c r="A1087" s="204">
        <v>31980</v>
      </c>
      <c r="B1087" s="544">
        <v>9.5</v>
      </c>
      <c r="C1087">
        <v>9.75</v>
      </c>
      <c r="D1087">
        <v>10.75</v>
      </c>
      <c r="E1087">
        <v>11.25</v>
      </c>
      <c r="F1087">
        <v>7.75</v>
      </c>
      <c r="G1087">
        <v>9</v>
      </c>
      <c r="H1087">
        <v>9.5</v>
      </c>
      <c r="I1087">
        <v>7</v>
      </c>
      <c r="K1087">
        <v>4.75</v>
      </c>
    </row>
    <row r="1088" spans="1:11" x14ac:dyDescent="0.35">
      <c r="A1088" s="204">
        <v>31987</v>
      </c>
      <c r="B1088" s="544">
        <v>9.5</v>
      </c>
      <c r="C1088">
        <v>9.75</v>
      </c>
      <c r="D1088">
        <v>10.75</v>
      </c>
      <c r="E1088">
        <v>11.25</v>
      </c>
      <c r="F1088">
        <v>7.75</v>
      </c>
      <c r="G1088">
        <v>9</v>
      </c>
      <c r="H1088">
        <v>9.5</v>
      </c>
      <c r="I1088">
        <v>7</v>
      </c>
      <c r="K1088">
        <v>4.75</v>
      </c>
    </row>
    <row r="1089" spans="1:11" x14ac:dyDescent="0.35">
      <c r="A1089" s="204">
        <v>31994</v>
      </c>
      <c r="B1089" s="544">
        <v>10</v>
      </c>
      <c r="C1089">
        <v>10.25</v>
      </c>
      <c r="D1089">
        <v>11</v>
      </c>
      <c r="E1089">
        <v>11.5</v>
      </c>
      <c r="F1089">
        <v>8.25</v>
      </c>
      <c r="G1089">
        <v>9.25</v>
      </c>
      <c r="H1089">
        <v>9.75</v>
      </c>
      <c r="I1089">
        <v>7.5</v>
      </c>
      <c r="K1089">
        <v>5.25</v>
      </c>
    </row>
    <row r="1090" spans="1:11" x14ac:dyDescent="0.35">
      <c r="A1090" s="204">
        <v>32001</v>
      </c>
      <c r="B1090" s="544">
        <v>10</v>
      </c>
      <c r="C1090">
        <v>10.25</v>
      </c>
      <c r="D1090">
        <v>11</v>
      </c>
      <c r="E1090">
        <v>11.5</v>
      </c>
      <c r="F1090">
        <v>8.25</v>
      </c>
      <c r="G1090">
        <v>9.25</v>
      </c>
      <c r="H1090">
        <v>9.75</v>
      </c>
      <c r="I1090">
        <v>7.5</v>
      </c>
      <c r="K1090">
        <v>5.25</v>
      </c>
    </row>
    <row r="1091" spans="1:11" x14ac:dyDescent="0.35">
      <c r="A1091" s="204">
        <v>32008</v>
      </c>
      <c r="B1091" s="544">
        <v>10</v>
      </c>
      <c r="C1091">
        <v>10.25</v>
      </c>
      <c r="D1091">
        <v>11</v>
      </c>
      <c r="E1091">
        <v>11.5</v>
      </c>
      <c r="F1091">
        <v>8.25</v>
      </c>
      <c r="G1091">
        <v>9.25</v>
      </c>
      <c r="H1091">
        <v>9.75</v>
      </c>
      <c r="I1091">
        <v>7.5</v>
      </c>
      <c r="K1091">
        <v>5.25</v>
      </c>
    </row>
    <row r="1092" spans="1:11" x14ac:dyDescent="0.35">
      <c r="A1092" s="204">
        <v>32015</v>
      </c>
      <c r="B1092" s="544">
        <v>10</v>
      </c>
      <c r="C1092">
        <v>10.25</v>
      </c>
      <c r="D1092">
        <v>11</v>
      </c>
      <c r="E1092">
        <v>11.5</v>
      </c>
      <c r="F1092">
        <v>8.25</v>
      </c>
      <c r="G1092">
        <v>9.25</v>
      </c>
      <c r="H1092">
        <v>9.75</v>
      </c>
      <c r="I1092">
        <v>7.5</v>
      </c>
      <c r="K1092">
        <v>5.25</v>
      </c>
    </row>
    <row r="1093" spans="1:11" x14ac:dyDescent="0.35">
      <c r="A1093" s="204">
        <v>32022</v>
      </c>
      <c r="B1093" s="544">
        <v>10</v>
      </c>
      <c r="C1093">
        <v>10.25</v>
      </c>
      <c r="D1093">
        <v>11</v>
      </c>
      <c r="E1093">
        <v>11.5</v>
      </c>
      <c r="F1093">
        <v>8.25</v>
      </c>
      <c r="G1093">
        <v>9.25</v>
      </c>
      <c r="H1093">
        <v>9.75</v>
      </c>
      <c r="I1093">
        <v>7.5</v>
      </c>
      <c r="K1093">
        <v>5.25</v>
      </c>
    </row>
    <row r="1094" spans="1:11" x14ac:dyDescent="0.35">
      <c r="A1094" s="204">
        <v>32029</v>
      </c>
      <c r="B1094" s="544">
        <v>10</v>
      </c>
      <c r="C1094">
        <v>10.25</v>
      </c>
      <c r="D1094">
        <v>11</v>
      </c>
      <c r="E1094">
        <v>11.5</v>
      </c>
      <c r="F1094">
        <v>8.25</v>
      </c>
      <c r="G1094">
        <v>9.25</v>
      </c>
      <c r="H1094">
        <v>9.75</v>
      </c>
      <c r="I1094">
        <v>7.5</v>
      </c>
      <c r="K1094">
        <v>5.25</v>
      </c>
    </row>
    <row r="1095" spans="1:11" x14ac:dyDescent="0.35">
      <c r="A1095" s="204">
        <v>32036</v>
      </c>
      <c r="B1095" s="544">
        <v>10</v>
      </c>
      <c r="C1095">
        <v>10.5</v>
      </c>
      <c r="D1095">
        <v>11.25</v>
      </c>
      <c r="E1095">
        <v>11.75</v>
      </c>
      <c r="F1095">
        <v>8.5</v>
      </c>
      <c r="G1095">
        <v>9.5</v>
      </c>
      <c r="H1095">
        <v>10</v>
      </c>
      <c r="I1095">
        <v>7.5</v>
      </c>
      <c r="K1095">
        <v>5.25</v>
      </c>
    </row>
    <row r="1096" spans="1:11" x14ac:dyDescent="0.35">
      <c r="A1096" s="204">
        <v>32043</v>
      </c>
      <c r="B1096" s="544">
        <v>10</v>
      </c>
      <c r="C1096">
        <v>10.5</v>
      </c>
      <c r="D1096">
        <v>11.25</v>
      </c>
      <c r="E1096">
        <v>11.75</v>
      </c>
      <c r="F1096">
        <v>8.5</v>
      </c>
      <c r="G1096">
        <v>9.5</v>
      </c>
      <c r="H1096">
        <v>10.25</v>
      </c>
      <c r="I1096">
        <v>7.5</v>
      </c>
      <c r="K1096">
        <v>5.25</v>
      </c>
    </row>
    <row r="1097" spans="1:11" x14ac:dyDescent="0.35">
      <c r="A1097" s="204">
        <v>32050</v>
      </c>
      <c r="B1097" s="544">
        <v>10</v>
      </c>
      <c r="C1097">
        <v>10.75</v>
      </c>
      <c r="D1097">
        <v>11.5</v>
      </c>
      <c r="E1097">
        <v>12</v>
      </c>
      <c r="F1097">
        <v>8.5</v>
      </c>
      <c r="G1097">
        <v>9.5</v>
      </c>
      <c r="H1097">
        <v>10.25</v>
      </c>
      <c r="I1097">
        <v>7.5</v>
      </c>
      <c r="K1097">
        <v>5.25</v>
      </c>
    </row>
    <row r="1098" spans="1:11" x14ac:dyDescent="0.35">
      <c r="A1098" s="204">
        <v>32057</v>
      </c>
      <c r="B1098" s="544">
        <v>10</v>
      </c>
      <c r="C1098">
        <v>10.75</v>
      </c>
      <c r="D1098">
        <v>11.5</v>
      </c>
      <c r="E1098">
        <v>12</v>
      </c>
      <c r="F1098">
        <v>8.75</v>
      </c>
      <c r="G1098">
        <v>9.75</v>
      </c>
      <c r="H1098">
        <v>10.25</v>
      </c>
      <c r="I1098">
        <v>7.5</v>
      </c>
      <c r="K1098">
        <v>5.25</v>
      </c>
    </row>
    <row r="1099" spans="1:11" x14ac:dyDescent="0.35">
      <c r="A1099" s="204">
        <v>32064</v>
      </c>
      <c r="B1099" s="544">
        <v>10.5</v>
      </c>
      <c r="C1099">
        <v>11</v>
      </c>
      <c r="D1099">
        <v>11.75</v>
      </c>
      <c r="E1099">
        <v>12.25</v>
      </c>
      <c r="F1099">
        <v>9</v>
      </c>
      <c r="G1099">
        <v>10</v>
      </c>
      <c r="H1099">
        <v>10.5</v>
      </c>
      <c r="I1099">
        <v>8</v>
      </c>
      <c r="K1099">
        <v>5.75</v>
      </c>
    </row>
    <row r="1100" spans="1:11" x14ac:dyDescent="0.35">
      <c r="A1100" s="204">
        <v>32071</v>
      </c>
      <c r="B1100" s="544">
        <v>10.5</v>
      </c>
      <c r="C1100">
        <v>11</v>
      </c>
      <c r="D1100">
        <v>11.75</v>
      </c>
      <c r="E1100">
        <v>12.25</v>
      </c>
      <c r="F1100">
        <v>8.75</v>
      </c>
      <c r="G1100">
        <v>9.75</v>
      </c>
      <c r="H1100">
        <v>10.5</v>
      </c>
      <c r="I1100">
        <v>8</v>
      </c>
      <c r="K1100">
        <v>5.75</v>
      </c>
    </row>
    <row r="1101" spans="1:11" x14ac:dyDescent="0.35">
      <c r="A1101" s="204">
        <v>32078</v>
      </c>
      <c r="B1101" s="544">
        <v>9.75</v>
      </c>
      <c r="C1101">
        <v>10.5</v>
      </c>
      <c r="D1101">
        <v>11</v>
      </c>
      <c r="E1101">
        <v>11.5</v>
      </c>
      <c r="F1101">
        <v>8.75</v>
      </c>
      <c r="G1101">
        <v>9.25</v>
      </c>
      <c r="H1101">
        <v>9.75</v>
      </c>
      <c r="I1101">
        <v>7.25</v>
      </c>
      <c r="K1101">
        <v>5</v>
      </c>
    </row>
    <row r="1102" spans="1:11" x14ac:dyDescent="0.35">
      <c r="A1102" s="204">
        <v>32085</v>
      </c>
      <c r="B1102" s="544">
        <v>9.75</v>
      </c>
      <c r="C1102">
        <v>10.5</v>
      </c>
      <c r="D1102">
        <v>11</v>
      </c>
      <c r="E1102">
        <v>11.5</v>
      </c>
      <c r="F1102">
        <v>8.75</v>
      </c>
      <c r="G1102">
        <v>9.25</v>
      </c>
      <c r="H1102">
        <v>10</v>
      </c>
      <c r="I1102">
        <v>7.25</v>
      </c>
      <c r="K1102">
        <v>4.75</v>
      </c>
    </row>
    <row r="1103" spans="1:11" x14ac:dyDescent="0.35">
      <c r="A1103" s="204">
        <v>32092</v>
      </c>
      <c r="B1103" s="544">
        <v>9.75</v>
      </c>
      <c r="C1103">
        <v>10.5</v>
      </c>
      <c r="D1103">
        <v>11</v>
      </c>
      <c r="E1103">
        <v>11.5</v>
      </c>
      <c r="F1103">
        <v>8.75</v>
      </c>
      <c r="G1103">
        <v>9.5</v>
      </c>
      <c r="H1103">
        <v>10</v>
      </c>
      <c r="I1103">
        <v>7.25</v>
      </c>
      <c r="K1103">
        <v>4.75</v>
      </c>
    </row>
    <row r="1104" spans="1:11" x14ac:dyDescent="0.35">
      <c r="A1104" s="204">
        <v>32099</v>
      </c>
      <c r="B1104" s="544">
        <v>9.75</v>
      </c>
      <c r="C1104">
        <v>10.25</v>
      </c>
      <c r="D1104">
        <v>11</v>
      </c>
      <c r="E1104">
        <v>11.5</v>
      </c>
      <c r="F1104">
        <v>8.75</v>
      </c>
      <c r="G1104">
        <v>9.5</v>
      </c>
      <c r="H1104">
        <v>10</v>
      </c>
      <c r="I1104">
        <v>7.25</v>
      </c>
      <c r="K1104">
        <v>4.75</v>
      </c>
    </row>
    <row r="1105" spans="1:11" x14ac:dyDescent="0.35">
      <c r="A1105" s="204">
        <v>32106</v>
      </c>
      <c r="B1105" s="544">
        <v>9.75</v>
      </c>
      <c r="C1105">
        <v>10.25</v>
      </c>
      <c r="D1105">
        <v>11</v>
      </c>
      <c r="E1105">
        <v>11.5</v>
      </c>
      <c r="F1105">
        <v>8.75</v>
      </c>
      <c r="G1105">
        <v>9.5</v>
      </c>
      <c r="H1105">
        <v>10</v>
      </c>
      <c r="I1105">
        <v>7.25</v>
      </c>
      <c r="K1105">
        <v>4.75</v>
      </c>
    </row>
    <row r="1106" spans="1:11" x14ac:dyDescent="0.35">
      <c r="A1106" s="204">
        <v>32113</v>
      </c>
      <c r="B1106" s="544">
        <v>9.75</v>
      </c>
      <c r="C1106">
        <v>10.25</v>
      </c>
      <c r="D1106">
        <v>11</v>
      </c>
      <c r="E1106">
        <v>11.5</v>
      </c>
      <c r="F1106">
        <v>8.75</v>
      </c>
      <c r="G1106">
        <v>9.5</v>
      </c>
      <c r="H1106">
        <v>10</v>
      </c>
      <c r="I1106">
        <v>7.25</v>
      </c>
      <c r="K1106">
        <v>4.75</v>
      </c>
    </row>
    <row r="1107" spans="1:11" x14ac:dyDescent="0.35">
      <c r="A1107" s="204">
        <v>32120</v>
      </c>
      <c r="B1107" s="544">
        <v>9.75</v>
      </c>
      <c r="C1107">
        <v>10.25</v>
      </c>
      <c r="D1107">
        <v>11</v>
      </c>
      <c r="E1107">
        <v>11.5</v>
      </c>
      <c r="F1107">
        <v>8.75</v>
      </c>
      <c r="G1107">
        <v>9.5</v>
      </c>
      <c r="H1107">
        <v>10</v>
      </c>
      <c r="I1107">
        <v>7.25</v>
      </c>
      <c r="K1107">
        <v>4.75</v>
      </c>
    </row>
    <row r="1108" spans="1:11" x14ac:dyDescent="0.35">
      <c r="A1108" s="204">
        <v>32127</v>
      </c>
      <c r="B1108" s="544">
        <v>9.75</v>
      </c>
      <c r="C1108">
        <v>10.25</v>
      </c>
      <c r="D1108">
        <v>11.25</v>
      </c>
      <c r="E1108">
        <v>11.75</v>
      </c>
      <c r="F1108">
        <v>8.75</v>
      </c>
      <c r="G1108">
        <v>9.75</v>
      </c>
      <c r="H1108">
        <v>10.25</v>
      </c>
      <c r="I1108">
        <v>7.25</v>
      </c>
      <c r="K1108">
        <v>4.75</v>
      </c>
    </row>
    <row r="1109" spans="1:11" x14ac:dyDescent="0.35">
      <c r="A1109" s="204">
        <v>32134</v>
      </c>
      <c r="B1109" s="544">
        <v>9.75</v>
      </c>
      <c r="C1109">
        <v>10.25</v>
      </c>
      <c r="D1109">
        <v>11.25</v>
      </c>
      <c r="E1109">
        <v>11.75</v>
      </c>
      <c r="F1109">
        <v>8.75</v>
      </c>
      <c r="G1109">
        <v>9.75</v>
      </c>
      <c r="H1109">
        <v>10.25</v>
      </c>
      <c r="I1109">
        <v>7.25</v>
      </c>
      <c r="K1109">
        <v>4.75</v>
      </c>
    </row>
    <row r="1110" spans="1:11" x14ac:dyDescent="0.35">
      <c r="A1110" s="204">
        <v>32141</v>
      </c>
      <c r="B1110" s="544">
        <v>9.75</v>
      </c>
      <c r="C1110">
        <v>10.25</v>
      </c>
      <c r="D1110">
        <v>11.25</v>
      </c>
      <c r="E1110">
        <v>11.75</v>
      </c>
      <c r="F1110">
        <v>8.75</v>
      </c>
      <c r="G1110">
        <v>9.75</v>
      </c>
      <c r="H1110">
        <v>10.25</v>
      </c>
      <c r="I1110">
        <v>7.25</v>
      </c>
      <c r="K1110">
        <v>4.75</v>
      </c>
    </row>
    <row r="1111" spans="1:11" x14ac:dyDescent="0.35">
      <c r="A1111" s="204">
        <v>32148</v>
      </c>
      <c r="B1111" s="544">
        <v>9.75</v>
      </c>
      <c r="C1111">
        <v>10.25</v>
      </c>
      <c r="D1111">
        <v>11.25</v>
      </c>
      <c r="E1111">
        <v>11.75</v>
      </c>
      <c r="F1111">
        <v>8.75</v>
      </c>
      <c r="G1111">
        <v>9.75</v>
      </c>
      <c r="H1111">
        <v>10.25</v>
      </c>
      <c r="I1111">
        <v>7.25</v>
      </c>
      <c r="K1111">
        <v>4.75</v>
      </c>
    </row>
    <row r="1112" spans="1:11" x14ac:dyDescent="0.35">
      <c r="A1112" s="204">
        <v>32155</v>
      </c>
      <c r="B1112" s="544">
        <v>9.75</v>
      </c>
      <c r="C1112">
        <v>10.25</v>
      </c>
      <c r="D1112">
        <v>11.25</v>
      </c>
      <c r="E1112">
        <v>11.75</v>
      </c>
      <c r="F1112">
        <v>8.75</v>
      </c>
      <c r="G1112">
        <v>9.75</v>
      </c>
      <c r="H1112">
        <v>10.25</v>
      </c>
      <c r="I1112">
        <v>7.25</v>
      </c>
      <c r="K1112">
        <v>4.75</v>
      </c>
    </row>
    <row r="1113" spans="1:11" x14ac:dyDescent="0.35">
      <c r="A1113" s="204">
        <v>32162</v>
      </c>
      <c r="B1113" s="544">
        <v>9.75</v>
      </c>
      <c r="C1113">
        <v>10.25</v>
      </c>
      <c r="D1113">
        <v>11.25</v>
      </c>
      <c r="E1113">
        <v>11.75</v>
      </c>
      <c r="F1113">
        <v>8.75</v>
      </c>
      <c r="G1113">
        <v>9.75</v>
      </c>
      <c r="H1113">
        <v>10.25</v>
      </c>
      <c r="I1113">
        <v>7.25</v>
      </c>
      <c r="K1113">
        <v>4.75</v>
      </c>
    </row>
    <row r="1114" spans="1:11" x14ac:dyDescent="0.35">
      <c r="A1114" s="204">
        <v>32169</v>
      </c>
      <c r="B1114" s="544">
        <v>9.75</v>
      </c>
      <c r="C1114">
        <v>10.25</v>
      </c>
      <c r="D1114">
        <v>11.25</v>
      </c>
      <c r="E1114">
        <v>11.75</v>
      </c>
      <c r="F1114">
        <v>8.75</v>
      </c>
      <c r="G1114">
        <v>9.75</v>
      </c>
      <c r="H1114">
        <v>10.25</v>
      </c>
      <c r="I1114">
        <v>7.25</v>
      </c>
      <c r="K1114">
        <v>4.75</v>
      </c>
    </row>
    <row r="1115" spans="1:11" x14ac:dyDescent="0.35">
      <c r="A1115" s="204">
        <v>32176</v>
      </c>
      <c r="B1115" s="544">
        <v>9.75</v>
      </c>
      <c r="C1115">
        <v>10.25</v>
      </c>
      <c r="D1115">
        <v>11.25</v>
      </c>
      <c r="E1115">
        <v>11.75</v>
      </c>
      <c r="F1115">
        <v>8.5</v>
      </c>
      <c r="G1115">
        <v>9.5</v>
      </c>
      <c r="H1115">
        <v>10</v>
      </c>
      <c r="I1115">
        <v>7.25</v>
      </c>
      <c r="K1115">
        <v>4.75</v>
      </c>
    </row>
    <row r="1116" spans="1:11" x14ac:dyDescent="0.35">
      <c r="A1116" s="204">
        <v>32183</v>
      </c>
      <c r="B1116" s="544">
        <v>9.75</v>
      </c>
      <c r="C1116">
        <v>9.75</v>
      </c>
      <c r="D1116">
        <v>11</v>
      </c>
      <c r="E1116">
        <v>11.5</v>
      </c>
      <c r="F1116">
        <v>8.25</v>
      </c>
      <c r="G1116">
        <v>9.25</v>
      </c>
      <c r="H1116">
        <v>9.75</v>
      </c>
      <c r="I1116">
        <v>7.25</v>
      </c>
      <c r="K1116">
        <v>4.75</v>
      </c>
    </row>
    <row r="1117" spans="1:11" x14ac:dyDescent="0.35">
      <c r="A1117" s="204">
        <v>32190</v>
      </c>
      <c r="B1117" s="544">
        <v>9.75</v>
      </c>
      <c r="C1117">
        <v>9.75</v>
      </c>
      <c r="D1117">
        <v>11</v>
      </c>
      <c r="E1117">
        <v>11.5</v>
      </c>
      <c r="F1117">
        <v>8.25</v>
      </c>
      <c r="G1117">
        <v>9.25</v>
      </c>
      <c r="H1117">
        <v>9.75</v>
      </c>
      <c r="I1117">
        <v>7.25</v>
      </c>
      <c r="K1117">
        <v>4.75</v>
      </c>
    </row>
    <row r="1118" spans="1:11" x14ac:dyDescent="0.35">
      <c r="A1118" s="204">
        <v>32197</v>
      </c>
      <c r="B1118" s="544">
        <v>9.75</v>
      </c>
      <c r="C1118">
        <v>9.75</v>
      </c>
      <c r="D1118">
        <v>11</v>
      </c>
      <c r="E1118">
        <v>11.5</v>
      </c>
      <c r="F1118">
        <v>8.25</v>
      </c>
      <c r="G1118">
        <v>9.25</v>
      </c>
      <c r="H1118">
        <v>9.75</v>
      </c>
      <c r="I1118">
        <v>7.25</v>
      </c>
      <c r="K1118">
        <v>4.75</v>
      </c>
    </row>
    <row r="1119" spans="1:11" x14ac:dyDescent="0.35">
      <c r="A1119" s="204">
        <v>32204</v>
      </c>
      <c r="B1119" s="544">
        <v>9.75</v>
      </c>
      <c r="C1119">
        <v>9.75</v>
      </c>
      <c r="D1119">
        <v>11</v>
      </c>
      <c r="E1119">
        <v>11.5</v>
      </c>
      <c r="F1119">
        <v>8.25</v>
      </c>
      <c r="G1119">
        <v>9.25</v>
      </c>
      <c r="H1119">
        <v>9.75</v>
      </c>
      <c r="I1119">
        <v>7.25</v>
      </c>
      <c r="K1119">
        <v>4.75</v>
      </c>
    </row>
    <row r="1120" spans="1:11" x14ac:dyDescent="0.35">
      <c r="A1120" s="204">
        <v>32211</v>
      </c>
      <c r="B1120" s="544">
        <v>9.75</v>
      </c>
      <c r="C1120">
        <v>9.75</v>
      </c>
      <c r="D1120">
        <v>10.5</v>
      </c>
      <c r="E1120">
        <v>11</v>
      </c>
      <c r="F1120">
        <v>8.25</v>
      </c>
      <c r="G1120">
        <v>9</v>
      </c>
      <c r="H1120">
        <v>9.5</v>
      </c>
      <c r="I1120">
        <v>7.25</v>
      </c>
      <c r="K1120">
        <v>4.75</v>
      </c>
    </row>
    <row r="1121" spans="1:11" x14ac:dyDescent="0.35">
      <c r="A1121" s="204">
        <v>32218</v>
      </c>
      <c r="B1121" s="544">
        <v>9.75</v>
      </c>
      <c r="C1121">
        <v>9.75</v>
      </c>
      <c r="D1121">
        <v>10.5</v>
      </c>
      <c r="E1121">
        <v>11</v>
      </c>
      <c r="F1121">
        <v>8.25</v>
      </c>
      <c r="G1121">
        <v>9</v>
      </c>
      <c r="H1121">
        <v>9.5</v>
      </c>
      <c r="I1121">
        <v>7.25</v>
      </c>
      <c r="K1121">
        <v>4.75</v>
      </c>
    </row>
    <row r="1122" spans="1:11" x14ac:dyDescent="0.35">
      <c r="A1122" s="204">
        <v>32225</v>
      </c>
      <c r="B1122" s="544">
        <v>9.75</v>
      </c>
      <c r="C1122">
        <v>9.75</v>
      </c>
      <c r="D1122">
        <v>10.5</v>
      </c>
      <c r="E1122">
        <v>11</v>
      </c>
      <c r="F1122">
        <v>8.25</v>
      </c>
      <c r="G1122">
        <v>9</v>
      </c>
      <c r="H1122">
        <v>9.5</v>
      </c>
      <c r="I1122">
        <v>7.25</v>
      </c>
      <c r="K1122">
        <v>4.75</v>
      </c>
    </row>
    <row r="1123" spans="1:11" x14ac:dyDescent="0.35">
      <c r="A1123" s="204">
        <v>32232</v>
      </c>
      <c r="B1123" s="544">
        <v>9.75</v>
      </c>
      <c r="C1123">
        <v>9.75</v>
      </c>
      <c r="D1123">
        <v>10.5</v>
      </c>
      <c r="E1123">
        <v>11</v>
      </c>
      <c r="F1123">
        <v>8.25</v>
      </c>
      <c r="G1123">
        <v>9</v>
      </c>
      <c r="H1123">
        <v>9.5</v>
      </c>
      <c r="I1123">
        <v>7.25</v>
      </c>
      <c r="K1123">
        <v>4.75</v>
      </c>
    </row>
    <row r="1124" spans="1:11" x14ac:dyDescent="0.35">
      <c r="A1124" s="204">
        <v>32239</v>
      </c>
      <c r="B1124" s="544">
        <v>9.75</v>
      </c>
      <c r="C1124">
        <v>9.75</v>
      </c>
      <c r="D1124">
        <v>10.5</v>
      </c>
      <c r="E1124">
        <v>11</v>
      </c>
      <c r="F1124">
        <v>8.25</v>
      </c>
      <c r="G1124">
        <v>9</v>
      </c>
      <c r="H1124">
        <v>9.5</v>
      </c>
      <c r="I1124">
        <v>7.25</v>
      </c>
      <c r="K1124">
        <v>4.75</v>
      </c>
    </row>
    <row r="1125" spans="1:11" x14ac:dyDescent="0.35">
      <c r="A1125" s="204">
        <v>32246</v>
      </c>
      <c r="B1125" s="544">
        <v>9.75</v>
      </c>
      <c r="C1125">
        <v>9.75</v>
      </c>
      <c r="D1125">
        <v>10.5</v>
      </c>
      <c r="E1125">
        <v>11</v>
      </c>
      <c r="F1125">
        <v>8.25</v>
      </c>
      <c r="G1125">
        <v>9</v>
      </c>
      <c r="H1125">
        <v>9.5</v>
      </c>
      <c r="I1125">
        <v>7.25</v>
      </c>
      <c r="K1125">
        <v>4.75</v>
      </c>
    </row>
    <row r="1126" spans="1:11" x14ac:dyDescent="0.35">
      <c r="A1126" s="204">
        <v>32253</v>
      </c>
      <c r="B1126" s="544">
        <v>9.75</v>
      </c>
      <c r="C1126">
        <v>9.75</v>
      </c>
      <c r="D1126">
        <v>10.5</v>
      </c>
      <c r="E1126">
        <v>11</v>
      </c>
      <c r="F1126">
        <v>8.25</v>
      </c>
      <c r="G1126">
        <v>9</v>
      </c>
      <c r="H1126">
        <v>9.5</v>
      </c>
      <c r="I1126">
        <v>7.25</v>
      </c>
      <c r="K1126">
        <v>4.75</v>
      </c>
    </row>
    <row r="1127" spans="1:11" x14ac:dyDescent="0.35">
      <c r="A1127" s="204">
        <v>32260</v>
      </c>
      <c r="B1127" s="544">
        <v>10.25</v>
      </c>
      <c r="C1127">
        <v>10.25</v>
      </c>
      <c r="D1127">
        <v>10.75</v>
      </c>
      <c r="E1127">
        <v>11.25</v>
      </c>
      <c r="F1127">
        <v>8.75</v>
      </c>
      <c r="G1127">
        <v>9.25</v>
      </c>
      <c r="H1127">
        <v>9.5</v>
      </c>
      <c r="I1127">
        <v>7.75</v>
      </c>
      <c r="K1127">
        <v>5.25</v>
      </c>
    </row>
    <row r="1128" spans="1:11" x14ac:dyDescent="0.35">
      <c r="A1128" s="204">
        <v>32267</v>
      </c>
      <c r="B1128" s="544">
        <v>10.25</v>
      </c>
      <c r="C1128">
        <v>10.25</v>
      </c>
      <c r="D1128">
        <v>10.75</v>
      </c>
      <c r="E1128">
        <v>11.25</v>
      </c>
      <c r="F1128">
        <v>8.75</v>
      </c>
      <c r="G1128">
        <v>9.25</v>
      </c>
      <c r="H1128">
        <v>9.5</v>
      </c>
      <c r="I1128">
        <v>7.75</v>
      </c>
      <c r="K1128">
        <v>5.25</v>
      </c>
    </row>
    <row r="1129" spans="1:11" x14ac:dyDescent="0.35">
      <c r="A1129" s="204">
        <v>32274</v>
      </c>
      <c r="B1129" s="544">
        <v>10.25</v>
      </c>
      <c r="C1129">
        <v>10.25</v>
      </c>
      <c r="D1129">
        <v>10.75</v>
      </c>
      <c r="E1129">
        <v>11.25</v>
      </c>
      <c r="F1129">
        <v>8.75</v>
      </c>
      <c r="G1129">
        <v>9.25</v>
      </c>
      <c r="H1129">
        <v>9.5</v>
      </c>
      <c r="I1129">
        <v>7.75</v>
      </c>
      <c r="K1129">
        <v>5.25</v>
      </c>
    </row>
    <row r="1130" spans="1:11" x14ac:dyDescent="0.35">
      <c r="A1130" s="204">
        <v>32281</v>
      </c>
      <c r="B1130" s="544">
        <v>10.25</v>
      </c>
      <c r="C1130">
        <v>10.25</v>
      </c>
      <c r="D1130">
        <v>10.75</v>
      </c>
      <c r="E1130">
        <v>11.25</v>
      </c>
      <c r="F1130">
        <v>8.75</v>
      </c>
      <c r="G1130">
        <v>9.25</v>
      </c>
      <c r="H1130">
        <v>9.75</v>
      </c>
      <c r="I1130">
        <v>7.75</v>
      </c>
      <c r="K1130">
        <v>5.25</v>
      </c>
    </row>
    <row r="1131" spans="1:11" x14ac:dyDescent="0.35">
      <c r="A1131" s="204">
        <v>32288</v>
      </c>
      <c r="B1131" s="544">
        <v>10.25</v>
      </c>
      <c r="C1131">
        <v>10.25</v>
      </c>
      <c r="D1131">
        <v>10.75</v>
      </c>
      <c r="E1131">
        <v>11.25</v>
      </c>
      <c r="F1131">
        <v>8.75</v>
      </c>
      <c r="G1131">
        <v>9.25</v>
      </c>
      <c r="H1131">
        <v>9.75</v>
      </c>
      <c r="I1131">
        <v>7.75</v>
      </c>
      <c r="K1131">
        <v>5.25</v>
      </c>
    </row>
    <row r="1132" spans="1:11" x14ac:dyDescent="0.35">
      <c r="A1132" s="204">
        <v>32295</v>
      </c>
      <c r="B1132" s="544">
        <v>10.25</v>
      </c>
      <c r="C1132">
        <v>10.5</v>
      </c>
      <c r="D1132">
        <v>11</v>
      </c>
      <c r="E1132">
        <v>11.5</v>
      </c>
      <c r="F1132">
        <v>8.75</v>
      </c>
      <c r="G1132">
        <v>9.25</v>
      </c>
      <c r="H1132">
        <v>9.75</v>
      </c>
      <c r="I1132">
        <v>7.75</v>
      </c>
      <c r="K1132">
        <v>5.25</v>
      </c>
    </row>
    <row r="1133" spans="1:11" x14ac:dyDescent="0.35">
      <c r="A1133" s="204">
        <v>32302</v>
      </c>
      <c r="B1133" s="544">
        <v>10.75</v>
      </c>
      <c r="C1133">
        <v>10.75</v>
      </c>
      <c r="D1133">
        <v>11.25</v>
      </c>
      <c r="E1133">
        <v>11.75</v>
      </c>
      <c r="F1133">
        <v>9</v>
      </c>
      <c r="G1133">
        <v>9.5</v>
      </c>
      <c r="H1133">
        <v>10</v>
      </c>
      <c r="I1133">
        <v>7.75</v>
      </c>
      <c r="K1133">
        <v>5.5</v>
      </c>
    </row>
    <row r="1134" spans="1:11" x14ac:dyDescent="0.35">
      <c r="A1134" s="204">
        <v>32309</v>
      </c>
      <c r="B1134" s="544">
        <v>10.75</v>
      </c>
      <c r="C1134">
        <v>10.75</v>
      </c>
      <c r="D1134">
        <v>11.25</v>
      </c>
      <c r="E1134">
        <v>11.25</v>
      </c>
      <c r="F1134">
        <v>9</v>
      </c>
      <c r="G1134">
        <v>9.5</v>
      </c>
      <c r="H1134">
        <v>10</v>
      </c>
      <c r="I1134">
        <v>7.75</v>
      </c>
      <c r="K1134">
        <v>5.5</v>
      </c>
    </row>
    <row r="1135" spans="1:11" x14ac:dyDescent="0.35">
      <c r="A1135" s="204">
        <v>32316</v>
      </c>
      <c r="B1135" s="544">
        <v>10.75</v>
      </c>
      <c r="C1135">
        <v>10.75</v>
      </c>
      <c r="D1135">
        <v>11.25</v>
      </c>
      <c r="E1135">
        <v>11.25</v>
      </c>
      <c r="F1135">
        <v>9</v>
      </c>
      <c r="G1135">
        <v>9.5</v>
      </c>
      <c r="H1135">
        <v>9.75</v>
      </c>
      <c r="I1135">
        <v>7.75</v>
      </c>
      <c r="K1135">
        <v>5.5</v>
      </c>
    </row>
    <row r="1136" spans="1:11" x14ac:dyDescent="0.35">
      <c r="A1136" s="204">
        <v>32323</v>
      </c>
      <c r="B1136" s="544">
        <v>10.75</v>
      </c>
      <c r="C1136">
        <v>10.75</v>
      </c>
      <c r="D1136">
        <v>11.25</v>
      </c>
      <c r="E1136">
        <v>11.25</v>
      </c>
      <c r="F1136">
        <v>9</v>
      </c>
      <c r="G1136">
        <v>9.5</v>
      </c>
      <c r="H1136">
        <v>9.75</v>
      </c>
      <c r="I1136">
        <v>7.75</v>
      </c>
      <c r="K1136">
        <v>5.5</v>
      </c>
    </row>
    <row r="1137" spans="1:11" x14ac:dyDescent="0.35">
      <c r="A1137" s="204">
        <v>32330</v>
      </c>
      <c r="B1137" s="544">
        <v>10.75</v>
      </c>
      <c r="C1137">
        <v>10.75</v>
      </c>
      <c r="D1137">
        <v>11.25</v>
      </c>
      <c r="E1137">
        <v>11.25</v>
      </c>
      <c r="F1137">
        <v>9</v>
      </c>
      <c r="G1137">
        <v>9.5</v>
      </c>
      <c r="H1137">
        <v>9.75</v>
      </c>
      <c r="I1137">
        <v>7.75</v>
      </c>
      <c r="K1137">
        <v>5.5</v>
      </c>
    </row>
    <row r="1138" spans="1:11" x14ac:dyDescent="0.35">
      <c r="A1138" s="204">
        <v>32337</v>
      </c>
      <c r="B1138" s="544">
        <v>10.75</v>
      </c>
      <c r="C1138">
        <v>10.75</v>
      </c>
      <c r="D1138">
        <v>11.25</v>
      </c>
      <c r="E1138">
        <v>11.25</v>
      </c>
      <c r="F1138">
        <v>9</v>
      </c>
      <c r="G1138">
        <v>9.5</v>
      </c>
      <c r="H1138">
        <v>9.75</v>
      </c>
      <c r="I1138">
        <v>7.75</v>
      </c>
      <c r="K1138">
        <v>5.5</v>
      </c>
    </row>
    <row r="1139" spans="1:11" x14ac:dyDescent="0.35">
      <c r="A1139" s="204">
        <v>32344</v>
      </c>
      <c r="B1139" s="544">
        <v>10.75</v>
      </c>
      <c r="C1139">
        <v>11</v>
      </c>
      <c r="D1139">
        <v>11.5</v>
      </c>
      <c r="E1139">
        <v>11.75</v>
      </c>
      <c r="F1139">
        <v>9</v>
      </c>
      <c r="G1139">
        <v>9.5</v>
      </c>
      <c r="H1139">
        <v>10</v>
      </c>
      <c r="I1139">
        <v>7.75</v>
      </c>
      <c r="K1139">
        <v>5.5</v>
      </c>
    </row>
    <row r="1140" spans="1:11" x14ac:dyDescent="0.35">
      <c r="A1140" s="204">
        <v>32351</v>
      </c>
      <c r="B1140" s="544">
        <v>10.75</v>
      </c>
      <c r="C1140">
        <v>11</v>
      </c>
      <c r="D1140">
        <v>11.5</v>
      </c>
      <c r="E1140">
        <v>11.75</v>
      </c>
      <c r="F1140">
        <v>9</v>
      </c>
      <c r="G1140">
        <v>9.5</v>
      </c>
      <c r="H1140">
        <v>10</v>
      </c>
      <c r="I1140">
        <v>7.75</v>
      </c>
      <c r="K1140">
        <v>5.5</v>
      </c>
    </row>
    <row r="1141" spans="1:11" x14ac:dyDescent="0.35">
      <c r="A1141" s="204">
        <v>32358</v>
      </c>
      <c r="B1141" s="544">
        <v>10.75</v>
      </c>
      <c r="C1141">
        <v>11</v>
      </c>
      <c r="D1141">
        <v>11.5</v>
      </c>
      <c r="E1141">
        <v>11.75</v>
      </c>
      <c r="F1141">
        <v>9</v>
      </c>
      <c r="G1141">
        <v>9.5</v>
      </c>
      <c r="H1141">
        <v>10</v>
      </c>
      <c r="I1141">
        <v>7.75</v>
      </c>
      <c r="K1141">
        <v>5.5</v>
      </c>
    </row>
    <row r="1142" spans="1:11" x14ac:dyDescent="0.35">
      <c r="A1142" s="204">
        <v>32365</v>
      </c>
      <c r="B1142" s="544">
        <v>10.75</v>
      </c>
      <c r="C1142">
        <v>11</v>
      </c>
      <c r="D1142">
        <v>11.5</v>
      </c>
      <c r="E1142">
        <v>11.75</v>
      </c>
      <c r="F1142">
        <v>9</v>
      </c>
      <c r="G1142">
        <v>9.5</v>
      </c>
      <c r="H1142">
        <v>10</v>
      </c>
      <c r="I1142">
        <v>7.75</v>
      </c>
      <c r="K1142">
        <v>5.5</v>
      </c>
    </row>
    <row r="1143" spans="1:11" x14ac:dyDescent="0.35">
      <c r="A1143" s="204">
        <v>32372</v>
      </c>
      <c r="B1143" s="544">
        <v>10.75</v>
      </c>
      <c r="C1143">
        <v>11.25</v>
      </c>
      <c r="D1143">
        <v>11.75</v>
      </c>
      <c r="E1143">
        <v>12</v>
      </c>
      <c r="F1143">
        <v>9.25</v>
      </c>
      <c r="G1143">
        <v>9.75</v>
      </c>
      <c r="H1143">
        <v>10.25</v>
      </c>
      <c r="I1143">
        <v>7.75</v>
      </c>
      <c r="K1143">
        <v>5.5</v>
      </c>
    </row>
    <row r="1144" spans="1:11" x14ac:dyDescent="0.35">
      <c r="A1144" s="204">
        <v>32379</v>
      </c>
      <c r="B1144" s="544">
        <v>10.75</v>
      </c>
      <c r="C1144">
        <v>11.25</v>
      </c>
      <c r="D1144">
        <v>11.75</v>
      </c>
      <c r="E1144">
        <v>12</v>
      </c>
      <c r="F1144">
        <v>9.25</v>
      </c>
      <c r="G1144">
        <v>9.75</v>
      </c>
      <c r="H1144">
        <v>10.25</v>
      </c>
      <c r="I1144">
        <v>7.75</v>
      </c>
      <c r="K1144">
        <v>5.5</v>
      </c>
    </row>
    <row r="1145" spans="1:11" x14ac:dyDescent="0.35">
      <c r="A1145" s="204">
        <v>32386</v>
      </c>
      <c r="B1145" s="544">
        <v>11.25</v>
      </c>
      <c r="C1145">
        <v>11.5</v>
      </c>
      <c r="D1145">
        <v>12</v>
      </c>
      <c r="E1145">
        <v>12.25</v>
      </c>
      <c r="F1145">
        <v>9.5</v>
      </c>
      <c r="G1145">
        <v>10</v>
      </c>
      <c r="H1145">
        <v>10.5</v>
      </c>
      <c r="I1145">
        <v>8.25</v>
      </c>
      <c r="K1145">
        <v>6</v>
      </c>
    </row>
    <row r="1146" spans="1:11" x14ac:dyDescent="0.35">
      <c r="A1146" s="204">
        <v>32393</v>
      </c>
      <c r="B1146" s="544">
        <v>11.25</v>
      </c>
      <c r="C1146">
        <v>11.5</v>
      </c>
      <c r="D1146">
        <v>12</v>
      </c>
      <c r="E1146">
        <v>12.25</v>
      </c>
      <c r="F1146">
        <v>9.5</v>
      </c>
      <c r="G1146">
        <v>10</v>
      </c>
      <c r="H1146">
        <v>10.5</v>
      </c>
      <c r="I1146">
        <v>8.25</v>
      </c>
      <c r="K1146">
        <v>6</v>
      </c>
    </row>
    <row r="1147" spans="1:11" x14ac:dyDescent="0.35">
      <c r="A1147" s="204">
        <v>32400</v>
      </c>
      <c r="B1147" s="544">
        <v>11.25</v>
      </c>
      <c r="C1147">
        <v>11.5</v>
      </c>
      <c r="D1147">
        <v>12</v>
      </c>
      <c r="E1147">
        <v>12.25</v>
      </c>
      <c r="F1147">
        <v>9.75</v>
      </c>
      <c r="G1147">
        <v>10</v>
      </c>
      <c r="H1147">
        <v>10.5</v>
      </c>
      <c r="I1147">
        <v>8.25</v>
      </c>
      <c r="K1147">
        <v>6</v>
      </c>
    </row>
    <row r="1148" spans="1:11" x14ac:dyDescent="0.35">
      <c r="A1148" s="204">
        <v>32407</v>
      </c>
      <c r="B1148" s="544">
        <v>11.75</v>
      </c>
      <c r="C1148">
        <v>11.5</v>
      </c>
      <c r="D1148">
        <v>12</v>
      </c>
      <c r="E1148">
        <v>12.25</v>
      </c>
      <c r="F1148">
        <v>9.75</v>
      </c>
      <c r="G1148">
        <v>10</v>
      </c>
      <c r="H1148">
        <v>10.5</v>
      </c>
      <c r="I1148">
        <v>8.25</v>
      </c>
      <c r="K1148">
        <v>6.5</v>
      </c>
    </row>
    <row r="1149" spans="1:11" x14ac:dyDescent="0.35">
      <c r="A1149" s="204">
        <v>32414</v>
      </c>
      <c r="B1149" s="544">
        <v>11.75</v>
      </c>
      <c r="C1149">
        <v>11.75</v>
      </c>
      <c r="D1149">
        <v>12</v>
      </c>
      <c r="E1149">
        <v>11.75</v>
      </c>
      <c r="F1149">
        <v>10</v>
      </c>
      <c r="G1149">
        <v>10.25</v>
      </c>
      <c r="H1149">
        <v>10.25</v>
      </c>
      <c r="I1149">
        <v>8.25</v>
      </c>
      <c r="K1149">
        <v>6.5</v>
      </c>
    </row>
    <row r="1150" spans="1:11" x14ac:dyDescent="0.35">
      <c r="A1150" s="204">
        <v>32421</v>
      </c>
      <c r="B1150" s="544">
        <v>11.75</v>
      </c>
      <c r="C1150">
        <v>11.75</v>
      </c>
      <c r="D1150">
        <v>12</v>
      </c>
      <c r="E1150">
        <v>11.75</v>
      </c>
      <c r="F1150">
        <v>10</v>
      </c>
      <c r="G1150">
        <v>10.25</v>
      </c>
      <c r="H1150">
        <v>10.25</v>
      </c>
      <c r="I1150">
        <v>8.5</v>
      </c>
      <c r="K1150">
        <v>6.5</v>
      </c>
    </row>
    <row r="1151" spans="1:11" x14ac:dyDescent="0.35">
      <c r="A1151" s="204">
        <v>32428</v>
      </c>
      <c r="B1151" s="544">
        <v>11.75</v>
      </c>
      <c r="C1151">
        <v>11.75</v>
      </c>
      <c r="D1151">
        <v>12</v>
      </c>
      <c r="E1151">
        <v>11.75</v>
      </c>
      <c r="F1151">
        <v>10</v>
      </c>
      <c r="G1151">
        <v>10.25</v>
      </c>
      <c r="H1151">
        <v>10.25</v>
      </c>
      <c r="I1151">
        <v>8.5</v>
      </c>
      <c r="K1151">
        <v>6.5</v>
      </c>
    </row>
    <row r="1152" spans="1:11" x14ac:dyDescent="0.35">
      <c r="A1152" s="204">
        <v>32435</v>
      </c>
      <c r="B1152" s="544">
        <v>11.75</v>
      </c>
      <c r="C1152">
        <v>11.25</v>
      </c>
      <c r="D1152">
        <v>11.75</v>
      </c>
      <c r="E1152">
        <v>11.75</v>
      </c>
      <c r="F1152">
        <v>9.5</v>
      </c>
      <c r="G1152">
        <v>10</v>
      </c>
      <c r="H1152">
        <v>10.25</v>
      </c>
      <c r="I1152">
        <v>8.5</v>
      </c>
      <c r="K1152">
        <v>6.5</v>
      </c>
    </row>
    <row r="1153" spans="1:11" x14ac:dyDescent="0.35">
      <c r="A1153" s="204">
        <v>32442</v>
      </c>
      <c r="B1153" s="544">
        <v>11.75</v>
      </c>
      <c r="C1153">
        <v>11.25</v>
      </c>
      <c r="D1153">
        <v>11.75</v>
      </c>
      <c r="E1153">
        <v>11.75</v>
      </c>
      <c r="F1153">
        <v>9.75</v>
      </c>
      <c r="G1153">
        <v>10</v>
      </c>
      <c r="H1153">
        <v>10</v>
      </c>
      <c r="I1153">
        <v>8.5</v>
      </c>
      <c r="K1153">
        <v>6.5</v>
      </c>
    </row>
    <row r="1154" spans="1:11" x14ac:dyDescent="0.35">
      <c r="A1154" s="204">
        <v>32449</v>
      </c>
      <c r="B1154" s="544">
        <v>11.75</v>
      </c>
      <c r="C1154">
        <v>11.25</v>
      </c>
      <c r="D1154">
        <v>11.75</v>
      </c>
      <c r="E1154">
        <v>11.75</v>
      </c>
      <c r="F1154">
        <v>9.75</v>
      </c>
      <c r="G1154">
        <v>10</v>
      </c>
      <c r="H1154">
        <v>10</v>
      </c>
      <c r="I1154">
        <v>8.5</v>
      </c>
      <c r="K1154">
        <v>6.5</v>
      </c>
    </row>
    <row r="1155" spans="1:11" x14ac:dyDescent="0.35">
      <c r="A1155" s="204">
        <v>32456</v>
      </c>
      <c r="B1155" s="544">
        <v>11.75</v>
      </c>
      <c r="C1155">
        <v>11.25</v>
      </c>
      <c r="D1155">
        <v>11.75</v>
      </c>
      <c r="E1155">
        <v>11.75</v>
      </c>
      <c r="F1155">
        <v>9.75</v>
      </c>
      <c r="G1155">
        <v>10</v>
      </c>
      <c r="H1155">
        <v>10</v>
      </c>
      <c r="I1155">
        <v>8.5</v>
      </c>
      <c r="K1155">
        <v>6.5</v>
      </c>
    </row>
    <row r="1156" spans="1:11" x14ac:dyDescent="0.35">
      <c r="A1156" s="204">
        <v>32463</v>
      </c>
      <c r="B1156" s="544">
        <v>11.75</v>
      </c>
      <c r="C1156">
        <v>11.25</v>
      </c>
      <c r="D1156">
        <v>11.75</v>
      </c>
      <c r="E1156">
        <v>11.75</v>
      </c>
      <c r="F1156">
        <v>9.75</v>
      </c>
      <c r="G1156">
        <v>10</v>
      </c>
      <c r="H1156">
        <v>10</v>
      </c>
      <c r="I1156">
        <v>8.5</v>
      </c>
      <c r="K1156">
        <v>6.5</v>
      </c>
    </row>
    <row r="1157" spans="1:11" x14ac:dyDescent="0.35">
      <c r="A1157" s="204">
        <v>32470</v>
      </c>
      <c r="B1157" s="544">
        <v>11.75</v>
      </c>
      <c r="C1157">
        <v>11.25</v>
      </c>
      <c r="D1157">
        <v>11.75</v>
      </c>
      <c r="E1157">
        <v>11.75</v>
      </c>
      <c r="F1157">
        <v>9.75</v>
      </c>
      <c r="G1157">
        <v>10</v>
      </c>
      <c r="H1157">
        <v>10</v>
      </c>
      <c r="I1157">
        <v>8.5</v>
      </c>
      <c r="K1157">
        <v>6.5</v>
      </c>
    </row>
    <row r="1158" spans="1:11" x14ac:dyDescent="0.35">
      <c r="A1158" s="204">
        <v>32477</v>
      </c>
      <c r="B1158" s="544">
        <v>11.75</v>
      </c>
      <c r="C1158">
        <v>11.5</v>
      </c>
      <c r="D1158">
        <v>12</v>
      </c>
      <c r="E1158">
        <v>12</v>
      </c>
      <c r="F1158">
        <v>10</v>
      </c>
      <c r="G1158">
        <v>10.25</v>
      </c>
      <c r="H1158">
        <v>10.25</v>
      </c>
      <c r="I1158">
        <v>8.5</v>
      </c>
      <c r="K1158">
        <v>6.5</v>
      </c>
    </row>
    <row r="1159" spans="1:11" x14ac:dyDescent="0.35">
      <c r="A1159" s="204">
        <v>32484</v>
      </c>
      <c r="B1159" s="544">
        <v>11.75</v>
      </c>
      <c r="C1159">
        <v>11.5</v>
      </c>
      <c r="D1159">
        <v>12</v>
      </c>
      <c r="E1159">
        <v>12</v>
      </c>
      <c r="F1159">
        <v>10</v>
      </c>
      <c r="G1159">
        <v>10.25</v>
      </c>
      <c r="H1159">
        <v>10.25</v>
      </c>
      <c r="I1159">
        <v>8.5</v>
      </c>
      <c r="K1159">
        <v>6.5</v>
      </c>
    </row>
    <row r="1160" spans="1:11" x14ac:dyDescent="0.35">
      <c r="A1160" s="204">
        <v>32491</v>
      </c>
      <c r="B1160" s="544">
        <v>12.25</v>
      </c>
      <c r="C1160">
        <v>12</v>
      </c>
      <c r="D1160">
        <v>12.25</v>
      </c>
      <c r="E1160">
        <v>12.25</v>
      </c>
      <c r="F1160">
        <v>10.5</v>
      </c>
      <c r="G1160">
        <v>10.5</v>
      </c>
      <c r="H1160">
        <v>10.5</v>
      </c>
      <c r="I1160">
        <v>8.5</v>
      </c>
      <c r="K1160">
        <v>7</v>
      </c>
    </row>
    <row r="1161" spans="1:11" x14ac:dyDescent="0.35">
      <c r="A1161" s="204">
        <v>32498</v>
      </c>
      <c r="B1161" s="544">
        <v>12.25</v>
      </c>
      <c r="C1161">
        <v>12</v>
      </c>
      <c r="D1161">
        <v>12.25</v>
      </c>
      <c r="E1161">
        <v>12.25</v>
      </c>
      <c r="F1161">
        <v>10.5</v>
      </c>
      <c r="G1161">
        <v>10.5</v>
      </c>
      <c r="H1161">
        <v>10.5</v>
      </c>
      <c r="I1161">
        <v>9</v>
      </c>
      <c r="K1161">
        <v>7</v>
      </c>
    </row>
    <row r="1162" spans="1:11" x14ac:dyDescent="0.35">
      <c r="A1162" s="204">
        <v>32505</v>
      </c>
      <c r="B1162" s="544">
        <v>12.25</v>
      </c>
      <c r="C1162">
        <v>12</v>
      </c>
      <c r="D1162">
        <v>12.25</v>
      </c>
      <c r="E1162">
        <v>12.25</v>
      </c>
      <c r="F1162">
        <v>10.25</v>
      </c>
      <c r="G1162">
        <v>10.5</v>
      </c>
      <c r="H1162">
        <v>10.5</v>
      </c>
      <c r="I1162">
        <v>9</v>
      </c>
      <c r="K1162">
        <v>7</v>
      </c>
    </row>
    <row r="1163" spans="1:11" x14ac:dyDescent="0.35">
      <c r="A1163" s="204">
        <v>32512</v>
      </c>
      <c r="B1163" s="544">
        <v>12.25</v>
      </c>
      <c r="C1163">
        <v>12</v>
      </c>
      <c r="D1163">
        <v>12.25</v>
      </c>
      <c r="E1163">
        <v>12.25</v>
      </c>
      <c r="F1163">
        <v>10.25</v>
      </c>
      <c r="G1163">
        <v>10.5</v>
      </c>
      <c r="H1163">
        <v>10.5</v>
      </c>
      <c r="I1163">
        <v>9</v>
      </c>
      <c r="K1163">
        <v>7</v>
      </c>
    </row>
    <row r="1164" spans="1:11" x14ac:dyDescent="0.35">
      <c r="A1164" s="204">
        <v>32519</v>
      </c>
      <c r="B1164" s="544">
        <v>12.25</v>
      </c>
      <c r="C1164">
        <v>12</v>
      </c>
      <c r="D1164">
        <v>12.25</v>
      </c>
      <c r="E1164">
        <v>12.25</v>
      </c>
      <c r="F1164">
        <v>10.25</v>
      </c>
      <c r="G1164">
        <v>10.5</v>
      </c>
      <c r="H1164">
        <v>10.5</v>
      </c>
      <c r="I1164">
        <v>9</v>
      </c>
      <c r="K1164">
        <v>7</v>
      </c>
    </row>
    <row r="1165" spans="1:11" x14ac:dyDescent="0.35">
      <c r="A1165" s="204">
        <v>32526</v>
      </c>
      <c r="B1165" s="544">
        <v>12.25</v>
      </c>
      <c r="C1165">
        <v>12.25</v>
      </c>
      <c r="D1165">
        <v>12.25</v>
      </c>
      <c r="E1165">
        <v>12.25</v>
      </c>
      <c r="F1165">
        <v>10.25</v>
      </c>
      <c r="G1165">
        <v>10.5</v>
      </c>
      <c r="H1165">
        <v>10.5</v>
      </c>
      <c r="I1165">
        <v>9</v>
      </c>
      <c r="K1165">
        <v>7</v>
      </c>
    </row>
    <row r="1166" spans="1:11" x14ac:dyDescent="0.35">
      <c r="A1166" s="204">
        <v>32533</v>
      </c>
      <c r="B1166" s="544">
        <v>12.25</v>
      </c>
      <c r="C1166">
        <v>12.25</v>
      </c>
      <c r="D1166">
        <v>12.25</v>
      </c>
      <c r="E1166">
        <v>12.25</v>
      </c>
      <c r="F1166">
        <v>10.5</v>
      </c>
      <c r="G1166">
        <v>10.5</v>
      </c>
      <c r="H1166">
        <v>10.5</v>
      </c>
      <c r="I1166">
        <v>9</v>
      </c>
      <c r="K1166">
        <v>7</v>
      </c>
    </row>
    <row r="1167" spans="1:11" x14ac:dyDescent="0.35">
      <c r="A1167" s="204">
        <v>32540</v>
      </c>
      <c r="B1167" s="544">
        <v>12.25</v>
      </c>
      <c r="C1167">
        <v>12.25</v>
      </c>
      <c r="D1167">
        <v>12.25</v>
      </c>
      <c r="E1167">
        <v>12.25</v>
      </c>
      <c r="F1167">
        <v>10.5</v>
      </c>
      <c r="G1167">
        <v>10.5</v>
      </c>
      <c r="H1167">
        <v>10.5</v>
      </c>
      <c r="I1167">
        <v>9</v>
      </c>
      <c r="K1167">
        <v>7</v>
      </c>
    </row>
    <row r="1168" spans="1:11" x14ac:dyDescent="0.35">
      <c r="A1168" s="204">
        <v>32547</v>
      </c>
      <c r="B1168" s="544">
        <v>12.25</v>
      </c>
      <c r="C1168">
        <v>12.25</v>
      </c>
      <c r="D1168">
        <v>12.25</v>
      </c>
      <c r="E1168">
        <v>12.25</v>
      </c>
      <c r="F1168">
        <v>10.5</v>
      </c>
      <c r="G1168">
        <v>10.5</v>
      </c>
      <c r="H1168">
        <v>10.5</v>
      </c>
      <c r="I1168">
        <v>9</v>
      </c>
      <c r="K1168">
        <v>7</v>
      </c>
    </row>
    <row r="1169" spans="1:11" x14ac:dyDescent="0.35">
      <c r="A1169" s="204">
        <v>32554</v>
      </c>
      <c r="B1169" s="544">
        <v>12.25</v>
      </c>
      <c r="C1169">
        <v>12.25</v>
      </c>
      <c r="D1169">
        <v>12.25</v>
      </c>
      <c r="E1169">
        <v>12.25</v>
      </c>
      <c r="F1169">
        <v>10.5</v>
      </c>
      <c r="G1169">
        <v>10.5</v>
      </c>
      <c r="H1169">
        <v>10.5</v>
      </c>
      <c r="I1169">
        <v>9</v>
      </c>
      <c r="K1169">
        <v>7</v>
      </c>
    </row>
    <row r="1170" spans="1:11" x14ac:dyDescent="0.35">
      <c r="A1170" s="204">
        <v>32561</v>
      </c>
      <c r="B1170" s="544">
        <v>12.75</v>
      </c>
      <c r="C1170">
        <v>12.75</v>
      </c>
      <c r="D1170">
        <v>12.25</v>
      </c>
      <c r="E1170">
        <v>12.25</v>
      </c>
      <c r="F1170">
        <v>10.75</v>
      </c>
      <c r="G1170">
        <v>10.5</v>
      </c>
      <c r="H1170">
        <v>10.5</v>
      </c>
      <c r="I1170">
        <v>9.5</v>
      </c>
      <c r="K1170">
        <v>7.5</v>
      </c>
    </row>
    <row r="1171" spans="1:11" x14ac:dyDescent="0.35">
      <c r="A1171" s="204">
        <v>32568</v>
      </c>
      <c r="B1171" s="544">
        <v>12.75</v>
      </c>
      <c r="C1171">
        <v>12.75</v>
      </c>
      <c r="D1171">
        <v>12.25</v>
      </c>
      <c r="E1171">
        <v>12.25</v>
      </c>
      <c r="F1171">
        <v>10.75</v>
      </c>
      <c r="G1171">
        <v>10.5</v>
      </c>
      <c r="H1171">
        <v>10.5</v>
      </c>
      <c r="I1171">
        <v>9.5</v>
      </c>
      <c r="K1171">
        <v>7.5</v>
      </c>
    </row>
    <row r="1172" spans="1:11" x14ac:dyDescent="0.35">
      <c r="A1172" s="204">
        <v>32575</v>
      </c>
      <c r="B1172" s="544">
        <v>12.75</v>
      </c>
      <c r="C1172">
        <v>12.75</v>
      </c>
      <c r="D1172">
        <v>12.25</v>
      </c>
      <c r="E1172">
        <v>12.25</v>
      </c>
      <c r="F1172">
        <v>10.75</v>
      </c>
      <c r="G1172">
        <v>10.5</v>
      </c>
      <c r="H1172">
        <v>10.5</v>
      </c>
      <c r="I1172">
        <v>9.5</v>
      </c>
      <c r="K1172">
        <v>7.5</v>
      </c>
    </row>
    <row r="1173" spans="1:11" x14ac:dyDescent="0.35">
      <c r="A1173" s="204">
        <v>32582</v>
      </c>
      <c r="B1173" s="544">
        <v>12.75</v>
      </c>
      <c r="C1173">
        <v>12.75</v>
      </c>
      <c r="D1173">
        <v>12.25</v>
      </c>
      <c r="E1173">
        <v>12.25</v>
      </c>
      <c r="F1173">
        <v>10.75</v>
      </c>
      <c r="G1173">
        <v>10.5</v>
      </c>
      <c r="H1173">
        <v>10.5</v>
      </c>
      <c r="I1173">
        <v>9.5</v>
      </c>
      <c r="K1173">
        <v>7.5</v>
      </c>
    </row>
    <row r="1174" spans="1:11" x14ac:dyDescent="0.35">
      <c r="A1174" s="204">
        <v>32589</v>
      </c>
      <c r="B1174" s="544">
        <v>12.75</v>
      </c>
      <c r="C1174">
        <v>13.25</v>
      </c>
      <c r="D1174">
        <v>12.5</v>
      </c>
      <c r="E1174">
        <v>12.5</v>
      </c>
      <c r="F1174">
        <v>11.25</v>
      </c>
      <c r="G1174">
        <v>10.75</v>
      </c>
      <c r="H1174">
        <v>10.75</v>
      </c>
      <c r="I1174">
        <v>9.5</v>
      </c>
      <c r="K1174">
        <v>7.5</v>
      </c>
    </row>
    <row r="1175" spans="1:11" x14ac:dyDescent="0.35">
      <c r="A1175" s="204">
        <v>32596</v>
      </c>
      <c r="B1175" s="544">
        <v>13.5</v>
      </c>
      <c r="C1175">
        <v>13.5</v>
      </c>
      <c r="D1175">
        <v>12.75</v>
      </c>
      <c r="E1175">
        <v>12.75</v>
      </c>
      <c r="F1175">
        <v>11.5</v>
      </c>
      <c r="G1175">
        <v>10.75</v>
      </c>
      <c r="H1175">
        <v>10.75</v>
      </c>
      <c r="I1175">
        <v>10.25</v>
      </c>
      <c r="K1175">
        <v>8.25</v>
      </c>
    </row>
    <row r="1176" spans="1:11" x14ac:dyDescent="0.35">
      <c r="A1176" s="204">
        <v>32603</v>
      </c>
      <c r="B1176" s="544">
        <v>13.5</v>
      </c>
      <c r="C1176">
        <v>13.5</v>
      </c>
      <c r="D1176">
        <v>12.75</v>
      </c>
      <c r="E1176">
        <v>12.75</v>
      </c>
      <c r="F1176">
        <v>11.5</v>
      </c>
      <c r="G1176">
        <v>10.75</v>
      </c>
      <c r="H1176">
        <v>10.75</v>
      </c>
      <c r="I1176">
        <v>10.25</v>
      </c>
      <c r="K1176">
        <v>8.25</v>
      </c>
    </row>
    <row r="1177" spans="1:11" x14ac:dyDescent="0.35">
      <c r="A1177" s="204">
        <v>32610</v>
      </c>
      <c r="B1177" s="544">
        <v>13.5</v>
      </c>
      <c r="C1177">
        <v>13.5</v>
      </c>
      <c r="D1177">
        <v>12.75</v>
      </c>
      <c r="E1177">
        <v>12.75</v>
      </c>
      <c r="F1177">
        <v>11.5</v>
      </c>
      <c r="G1177">
        <v>10.75</v>
      </c>
      <c r="H1177">
        <v>10.75</v>
      </c>
      <c r="I1177">
        <v>10.25</v>
      </c>
      <c r="K1177">
        <v>8.25</v>
      </c>
    </row>
    <row r="1178" spans="1:11" x14ac:dyDescent="0.35">
      <c r="A1178" s="204">
        <v>32617</v>
      </c>
      <c r="B1178" s="544">
        <v>13.5</v>
      </c>
      <c r="C1178">
        <v>13.5</v>
      </c>
      <c r="D1178">
        <v>12.75</v>
      </c>
      <c r="E1178">
        <v>12.75</v>
      </c>
      <c r="F1178">
        <v>11.5</v>
      </c>
      <c r="G1178">
        <v>10.75</v>
      </c>
      <c r="H1178">
        <v>10.75</v>
      </c>
      <c r="I1178">
        <v>10.25</v>
      </c>
      <c r="K1178">
        <v>8.25</v>
      </c>
    </row>
    <row r="1179" spans="1:11" x14ac:dyDescent="0.35">
      <c r="A1179" s="204">
        <v>32624</v>
      </c>
      <c r="B1179" s="544">
        <v>13.5</v>
      </c>
      <c r="C1179">
        <v>13.5</v>
      </c>
      <c r="D1179">
        <v>12.75</v>
      </c>
      <c r="E1179">
        <v>12.75</v>
      </c>
      <c r="F1179">
        <v>11.5</v>
      </c>
      <c r="G1179">
        <v>10.75</v>
      </c>
      <c r="H1179">
        <v>10.75</v>
      </c>
      <c r="I1179">
        <v>10.25</v>
      </c>
      <c r="K1179">
        <v>8.25</v>
      </c>
    </row>
    <row r="1180" spans="1:11" x14ac:dyDescent="0.35">
      <c r="A1180" s="204">
        <v>32631</v>
      </c>
      <c r="B1180" s="544">
        <v>13.5</v>
      </c>
      <c r="C1180">
        <v>13.5</v>
      </c>
      <c r="D1180">
        <v>12.75</v>
      </c>
      <c r="E1180">
        <v>12.75</v>
      </c>
      <c r="F1180">
        <v>11.5</v>
      </c>
      <c r="G1180">
        <v>10.75</v>
      </c>
      <c r="H1180">
        <v>10.75</v>
      </c>
      <c r="I1180">
        <v>10.25</v>
      </c>
      <c r="K1180">
        <v>8.25</v>
      </c>
    </row>
    <row r="1181" spans="1:11" x14ac:dyDescent="0.35">
      <c r="A1181" s="204">
        <v>32638</v>
      </c>
      <c r="B1181" s="544">
        <v>13.5</v>
      </c>
      <c r="C1181">
        <v>13.5</v>
      </c>
      <c r="D1181">
        <v>12.5</v>
      </c>
      <c r="E1181">
        <v>12.25</v>
      </c>
      <c r="F1181">
        <v>11.5</v>
      </c>
      <c r="G1181">
        <v>10.75</v>
      </c>
      <c r="H1181">
        <v>10.75</v>
      </c>
      <c r="I1181">
        <v>10.25</v>
      </c>
      <c r="K1181">
        <v>8.25</v>
      </c>
    </row>
    <row r="1182" spans="1:11" x14ac:dyDescent="0.35">
      <c r="A1182" s="204">
        <v>32645</v>
      </c>
      <c r="B1182" s="544">
        <v>13.5</v>
      </c>
      <c r="C1182">
        <v>13</v>
      </c>
      <c r="D1182">
        <v>12.5</v>
      </c>
      <c r="E1182">
        <v>12</v>
      </c>
      <c r="F1182">
        <v>11</v>
      </c>
      <c r="G1182">
        <v>10.5</v>
      </c>
      <c r="H1182">
        <v>10.25</v>
      </c>
      <c r="I1182">
        <v>10.25</v>
      </c>
      <c r="J1182">
        <v>11.75</v>
      </c>
      <c r="K1182">
        <v>8.25</v>
      </c>
    </row>
    <row r="1183" spans="1:11" x14ac:dyDescent="0.35">
      <c r="A1183" s="204">
        <v>32652</v>
      </c>
      <c r="B1183" s="544">
        <v>13.5</v>
      </c>
      <c r="C1183">
        <v>13</v>
      </c>
      <c r="D1183">
        <v>12.5</v>
      </c>
      <c r="E1183">
        <v>12</v>
      </c>
      <c r="F1183">
        <v>11</v>
      </c>
      <c r="G1183">
        <v>10.5</v>
      </c>
      <c r="H1183">
        <v>10.25</v>
      </c>
      <c r="I1183">
        <v>10.25</v>
      </c>
      <c r="J1183">
        <v>11.53</v>
      </c>
      <c r="K1183">
        <v>8.25</v>
      </c>
    </row>
    <row r="1184" spans="1:11" x14ac:dyDescent="0.35">
      <c r="A1184" s="204">
        <v>32659</v>
      </c>
      <c r="B1184" s="544">
        <v>13.5</v>
      </c>
      <c r="C1184">
        <v>13</v>
      </c>
      <c r="D1184">
        <v>12.25</v>
      </c>
      <c r="E1184">
        <v>12</v>
      </c>
      <c r="F1184">
        <v>11</v>
      </c>
      <c r="G1184">
        <v>10.5</v>
      </c>
      <c r="H1184">
        <v>10.25</v>
      </c>
      <c r="I1184">
        <v>10.25</v>
      </c>
      <c r="J1184">
        <v>11.7</v>
      </c>
      <c r="K1184">
        <v>8.25</v>
      </c>
    </row>
    <row r="1185" spans="1:11" x14ac:dyDescent="0.35">
      <c r="A1185" s="204">
        <v>32666</v>
      </c>
      <c r="B1185" s="544">
        <v>13.5</v>
      </c>
      <c r="C1185">
        <v>13</v>
      </c>
      <c r="D1185">
        <v>12.25</v>
      </c>
      <c r="E1185">
        <v>12</v>
      </c>
      <c r="F1185">
        <v>11</v>
      </c>
      <c r="G1185">
        <v>10.5</v>
      </c>
      <c r="H1185">
        <v>10.25</v>
      </c>
      <c r="I1185">
        <v>10.25</v>
      </c>
      <c r="J1185">
        <v>11.78</v>
      </c>
      <c r="K1185">
        <v>8.25</v>
      </c>
    </row>
    <row r="1186" spans="1:11" x14ac:dyDescent="0.35">
      <c r="A1186" s="204">
        <v>32673</v>
      </c>
      <c r="B1186" s="544">
        <v>13.5</v>
      </c>
      <c r="C1186">
        <v>12.75</v>
      </c>
      <c r="D1186">
        <v>12.25</v>
      </c>
      <c r="E1186">
        <v>12</v>
      </c>
      <c r="F1186">
        <v>10.75</v>
      </c>
      <c r="G1186">
        <v>10.25</v>
      </c>
      <c r="H1186">
        <v>10</v>
      </c>
      <c r="I1186">
        <v>10.25</v>
      </c>
      <c r="J1186">
        <v>11.7</v>
      </c>
      <c r="K1186">
        <v>8.25</v>
      </c>
    </row>
    <row r="1187" spans="1:11" x14ac:dyDescent="0.35">
      <c r="A1187" s="204">
        <v>32680</v>
      </c>
      <c r="B1187" s="544">
        <v>13.5</v>
      </c>
      <c r="C1187">
        <v>12.75</v>
      </c>
      <c r="D1187">
        <v>12.25</v>
      </c>
      <c r="E1187">
        <v>12</v>
      </c>
      <c r="F1187">
        <v>10.75</v>
      </c>
      <c r="G1187">
        <v>10.25</v>
      </c>
      <c r="H1187">
        <v>10</v>
      </c>
      <c r="I1187">
        <v>10.25</v>
      </c>
      <c r="J1187">
        <v>11.7</v>
      </c>
      <c r="K1187">
        <v>8.25</v>
      </c>
    </row>
    <row r="1188" spans="1:11" x14ac:dyDescent="0.35">
      <c r="A1188" s="204">
        <v>32687</v>
      </c>
      <c r="B1188" s="544">
        <v>13.5</v>
      </c>
      <c r="C1188">
        <v>12.75</v>
      </c>
      <c r="D1188">
        <v>12.25</v>
      </c>
      <c r="E1188">
        <v>12</v>
      </c>
      <c r="F1188">
        <v>10.5</v>
      </c>
      <c r="G1188">
        <v>10</v>
      </c>
      <c r="H1188">
        <v>9.75</v>
      </c>
      <c r="I1188">
        <v>10.25</v>
      </c>
      <c r="J1188">
        <v>11.7</v>
      </c>
      <c r="K1188">
        <v>8.25</v>
      </c>
    </row>
    <row r="1189" spans="1:11" x14ac:dyDescent="0.35">
      <c r="A1189" s="204">
        <v>32694</v>
      </c>
      <c r="B1189" s="544">
        <v>13.5</v>
      </c>
      <c r="C1189">
        <v>12.75</v>
      </c>
      <c r="D1189">
        <v>12.25</v>
      </c>
      <c r="E1189">
        <v>12</v>
      </c>
      <c r="F1189">
        <v>10.5</v>
      </c>
      <c r="G1189">
        <v>10.25</v>
      </c>
      <c r="H1189">
        <v>9.75</v>
      </c>
      <c r="I1189">
        <v>9.5</v>
      </c>
      <c r="J1189">
        <v>11.7</v>
      </c>
      <c r="K1189">
        <v>8.25</v>
      </c>
    </row>
    <row r="1190" spans="1:11" x14ac:dyDescent="0.35">
      <c r="A1190" s="204">
        <v>32701</v>
      </c>
      <c r="B1190" s="544">
        <v>13.5</v>
      </c>
      <c r="C1190">
        <v>12.75</v>
      </c>
      <c r="D1190">
        <v>12.25</v>
      </c>
      <c r="E1190">
        <v>12</v>
      </c>
      <c r="F1190">
        <v>10.5</v>
      </c>
      <c r="G1190">
        <v>10</v>
      </c>
      <c r="H1190">
        <v>9.75</v>
      </c>
      <c r="I1190">
        <v>9.5</v>
      </c>
      <c r="J1190">
        <v>11.7</v>
      </c>
      <c r="K1190">
        <v>8.25</v>
      </c>
    </row>
    <row r="1191" spans="1:11" x14ac:dyDescent="0.35">
      <c r="A1191" s="204">
        <v>32708</v>
      </c>
      <c r="B1191" s="544">
        <v>13.5</v>
      </c>
      <c r="C1191">
        <v>12.75</v>
      </c>
      <c r="D1191">
        <v>12.25</v>
      </c>
      <c r="E1191">
        <v>11.75</v>
      </c>
      <c r="F1191">
        <v>10.5</v>
      </c>
      <c r="G1191">
        <v>10</v>
      </c>
      <c r="H1191">
        <v>9.75</v>
      </c>
      <c r="I1191">
        <v>9.5</v>
      </c>
      <c r="J1191">
        <v>11.7</v>
      </c>
      <c r="K1191">
        <v>8.25</v>
      </c>
    </row>
    <row r="1192" spans="1:11" x14ac:dyDescent="0.35">
      <c r="A1192" s="204">
        <v>32715</v>
      </c>
      <c r="B1192" s="544">
        <v>13.5</v>
      </c>
      <c r="C1192">
        <v>12.75</v>
      </c>
      <c r="D1192">
        <v>12.25</v>
      </c>
      <c r="E1192">
        <v>11.75</v>
      </c>
      <c r="F1192">
        <v>10.5</v>
      </c>
      <c r="G1192">
        <v>10</v>
      </c>
      <c r="H1192">
        <v>9.75</v>
      </c>
      <c r="I1192">
        <v>9.5</v>
      </c>
      <c r="J1192">
        <v>11.71</v>
      </c>
      <c r="K1192">
        <v>8.25</v>
      </c>
    </row>
    <row r="1193" spans="1:11" x14ac:dyDescent="0.35">
      <c r="A1193" s="204">
        <v>32722</v>
      </c>
      <c r="B1193" s="544">
        <v>13.5</v>
      </c>
      <c r="C1193">
        <v>12.75</v>
      </c>
      <c r="D1193">
        <v>12.25</v>
      </c>
      <c r="E1193">
        <v>11.75</v>
      </c>
      <c r="F1193">
        <v>10.5</v>
      </c>
      <c r="G1193">
        <v>10</v>
      </c>
      <c r="H1193">
        <v>9.75</v>
      </c>
      <c r="I1193">
        <v>9.5</v>
      </c>
      <c r="J1193">
        <v>11.71</v>
      </c>
      <c r="K1193">
        <v>8.25</v>
      </c>
    </row>
    <row r="1194" spans="1:11" x14ac:dyDescent="0.35">
      <c r="A1194" s="204">
        <v>32729</v>
      </c>
      <c r="B1194" s="544">
        <v>13.5</v>
      </c>
      <c r="C1194">
        <v>12.75</v>
      </c>
      <c r="D1194">
        <v>12.25</v>
      </c>
      <c r="E1194">
        <v>11.75</v>
      </c>
      <c r="F1194">
        <v>10.5</v>
      </c>
      <c r="G1194">
        <v>10</v>
      </c>
      <c r="H1194">
        <v>9.75</v>
      </c>
      <c r="I1194">
        <v>9.5</v>
      </c>
      <c r="J1194">
        <v>11.75</v>
      </c>
      <c r="K1194">
        <v>8.25</v>
      </c>
    </row>
    <row r="1195" spans="1:11" x14ac:dyDescent="0.35">
      <c r="A1195" s="204">
        <v>32736</v>
      </c>
      <c r="B1195" s="544">
        <v>13.5</v>
      </c>
      <c r="C1195">
        <v>12.75</v>
      </c>
      <c r="D1195">
        <v>12.25</v>
      </c>
      <c r="E1195">
        <v>11.75</v>
      </c>
      <c r="F1195">
        <v>10.5</v>
      </c>
      <c r="G1195">
        <v>10</v>
      </c>
      <c r="H1195">
        <v>9.75</v>
      </c>
      <c r="I1195">
        <v>9.5</v>
      </c>
      <c r="J1195">
        <v>11.8</v>
      </c>
      <c r="K1195">
        <v>8.25</v>
      </c>
    </row>
    <row r="1196" spans="1:11" x14ac:dyDescent="0.35">
      <c r="A1196" s="204">
        <v>32743</v>
      </c>
      <c r="B1196" s="544">
        <v>13.5</v>
      </c>
      <c r="C1196">
        <v>12.75</v>
      </c>
      <c r="D1196">
        <v>12.25</v>
      </c>
      <c r="E1196">
        <v>11.75</v>
      </c>
      <c r="F1196">
        <v>10.5</v>
      </c>
      <c r="G1196">
        <v>10</v>
      </c>
      <c r="H1196">
        <v>9.75</v>
      </c>
      <c r="I1196">
        <v>9.5</v>
      </c>
      <c r="J1196">
        <v>11.77</v>
      </c>
      <c r="K1196">
        <v>8.25</v>
      </c>
    </row>
    <row r="1197" spans="1:11" x14ac:dyDescent="0.35">
      <c r="A1197" s="204">
        <v>32750</v>
      </c>
      <c r="B1197" s="544">
        <v>13.5</v>
      </c>
      <c r="C1197">
        <v>12.75</v>
      </c>
      <c r="D1197">
        <v>11.75</v>
      </c>
      <c r="E1197">
        <v>11.75</v>
      </c>
      <c r="F1197">
        <v>10.5</v>
      </c>
      <c r="G1197">
        <v>10</v>
      </c>
      <c r="H1197">
        <v>9.75</v>
      </c>
      <c r="I1197">
        <v>9.5</v>
      </c>
      <c r="J1197">
        <v>11.77</v>
      </c>
      <c r="K1197">
        <v>8.25</v>
      </c>
    </row>
    <row r="1198" spans="1:11" x14ac:dyDescent="0.35">
      <c r="A1198" s="204">
        <v>32757</v>
      </c>
      <c r="B1198" s="544">
        <v>13.5</v>
      </c>
      <c r="C1198">
        <v>12.75</v>
      </c>
      <c r="D1198">
        <v>11.75</v>
      </c>
      <c r="E1198">
        <v>11.75</v>
      </c>
      <c r="F1198">
        <v>10.5</v>
      </c>
      <c r="G1198">
        <v>10</v>
      </c>
      <c r="H1198">
        <v>9.75</v>
      </c>
      <c r="I1198">
        <v>9.5</v>
      </c>
      <c r="J1198">
        <v>11.77</v>
      </c>
      <c r="K1198">
        <v>8.25</v>
      </c>
    </row>
    <row r="1199" spans="1:11" x14ac:dyDescent="0.35">
      <c r="A1199" s="204">
        <v>32764</v>
      </c>
      <c r="B1199" s="544">
        <v>13.5</v>
      </c>
      <c r="C1199">
        <v>12.75</v>
      </c>
      <c r="D1199">
        <v>11.75</v>
      </c>
      <c r="E1199">
        <v>11.75</v>
      </c>
      <c r="F1199">
        <v>10.5</v>
      </c>
      <c r="G1199">
        <v>10</v>
      </c>
      <c r="H1199">
        <v>9.75</v>
      </c>
      <c r="I1199">
        <v>9.5</v>
      </c>
      <c r="J1199">
        <v>11.76</v>
      </c>
      <c r="K1199">
        <v>8.25</v>
      </c>
    </row>
    <row r="1200" spans="1:11" x14ac:dyDescent="0.35">
      <c r="A1200" s="204">
        <v>32771</v>
      </c>
      <c r="B1200" s="544">
        <v>13.5</v>
      </c>
      <c r="C1200">
        <v>12.75</v>
      </c>
      <c r="D1200">
        <v>11.75</v>
      </c>
      <c r="E1200">
        <v>11.75</v>
      </c>
      <c r="F1200">
        <v>10.5</v>
      </c>
      <c r="G1200">
        <v>10</v>
      </c>
      <c r="H1200">
        <v>10</v>
      </c>
      <c r="I1200">
        <v>9.5</v>
      </c>
      <c r="J1200">
        <v>11.81</v>
      </c>
      <c r="K1200">
        <v>8.25</v>
      </c>
    </row>
    <row r="1201" spans="1:11" x14ac:dyDescent="0.35">
      <c r="A1201" s="204">
        <v>32778</v>
      </c>
      <c r="B1201" s="544">
        <v>13.5</v>
      </c>
      <c r="C1201">
        <v>12.75</v>
      </c>
      <c r="D1201">
        <v>11.75</v>
      </c>
      <c r="E1201">
        <v>11.75</v>
      </c>
      <c r="F1201">
        <v>10.5</v>
      </c>
      <c r="G1201">
        <v>10</v>
      </c>
      <c r="H1201">
        <v>10</v>
      </c>
      <c r="I1201">
        <v>9.5</v>
      </c>
      <c r="J1201">
        <v>11.85</v>
      </c>
      <c r="K1201">
        <v>8.25</v>
      </c>
    </row>
    <row r="1202" spans="1:11" x14ac:dyDescent="0.35">
      <c r="A1202" s="204">
        <v>32785</v>
      </c>
      <c r="B1202" s="544">
        <v>13.5</v>
      </c>
      <c r="C1202">
        <v>12.75</v>
      </c>
      <c r="D1202">
        <v>11.75</v>
      </c>
      <c r="E1202">
        <v>11.75</v>
      </c>
      <c r="F1202">
        <v>10.75</v>
      </c>
      <c r="G1202">
        <v>10</v>
      </c>
      <c r="H1202">
        <v>10</v>
      </c>
      <c r="I1202">
        <v>9.5</v>
      </c>
      <c r="J1202">
        <v>11.85</v>
      </c>
      <c r="K1202">
        <v>8.25</v>
      </c>
    </row>
    <row r="1203" spans="1:11" x14ac:dyDescent="0.35">
      <c r="A1203" s="204">
        <v>32792</v>
      </c>
      <c r="B1203" s="544">
        <v>13.5</v>
      </c>
      <c r="C1203">
        <v>12.75</v>
      </c>
      <c r="D1203">
        <v>11.75</v>
      </c>
      <c r="E1203">
        <v>11.75</v>
      </c>
      <c r="F1203">
        <v>10.75</v>
      </c>
      <c r="G1203">
        <v>10</v>
      </c>
      <c r="H1203">
        <v>10</v>
      </c>
      <c r="I1203">
        <v>9.5</v>
      </c>
      <c r="J1203">
        <v>11.85</v>
      </c>
      <c r="K1203">
        <v>8.25</v>
      </c>
    </row>
    <row r="1204" spans="1:11" x14ac:dyDescent="0.35">
      <c r="A1204" s="204">
        <v>32799</v>
      </c>
      <c r="B1204" s="544">
        <v>13.5</v>
      </c>
      <c r="C1204">
        <v>12.75</v>
      </c>
      <c r="D1204">
        <v>11.75</v>
      </c>
      <c r="E1204">
        <v>11.75</v>
      </c>
      <c r="F1204">
        <v>10.75</v>
      </c>
      <c r="G1204">
        <v>10</v>
      </c>
      <c r="H1204">
        <v>10</v>
      </c>
      <c r="I1204">
        <v>9.5</v>
      </c>
      <c r="J1204">
        <v>11.8</v>
      </c>
      <c r="K1204">
        <v>8.25</v>
      </c>
    </row>
    <row r="1205" spans="1:11" x14ac:dyDescent="0.35">
      <c r="A1205" s="204">
        <v>32806</v>
      </c>
      <c r="B1205" s="544">
        <v>13.5</v>
      </c>
      <c r="C1205">
        <v>12.75</v>
      </c>
      <c r="D1205">
        <v>11.75</v>
      </c>
      <c r="E1205">
        <v>11.75</v>
      </c>
      <c r="F1205">
        <v>10.75</v>
      </c>
      <c r="G1205">
        <v>10</v>
      </c>
      <c r="H1205">
        <v>10</v>
      </c>
      <c r="I1205">
        <v>9.5</v>
      </c>
      <c r="J1205">
        <v>11.75</v>
      </c>
      <c r="K1205">
        <v>8.25</v>
      </c>
    </row>
    <row r="1206" spans="1:11" x14ac:dyDescent="0.35">
      <c r="A1206" s="204">
        <v>32813</v>
      </c>
      <c r="B1206" s="544">
        <v>13.5</v>
      </c>
      <c r="C1206">
        <v>12.75</v>
      </c>
      <c r="D1206">
        <v>11.75</v>
      </c>
      <c r="E1206">
        <v>11.75</v>
      </c>
      <c r="F1206">
        <v>11</v>
      </c>
      <c r="G1206">
        <v>10</v>
      </c>
      <c r="H1206">
        <v>10</v>
      </c>
      <c r="I1206">
        <v>9.5</v>
      </c>
      <c r="J1206">
        <v>11.75</v>
      </c>
      <c r="K1206">
        <v>8.25</v>
      </c>
    </row>
    <row r="1207" spans="1:11" x14ac:dyDescent="0.35">
      <c r="A1207" s="204">
        <v>32820</v>
      </c>
      <c r="B1207" s="544">
        <v>13.5</v>
      </c>
      <c r="C1207">
        <v>12.75</v>
      </c>
      <c r="D1207">
        <v>11.75</v>
      </c>
      <c r="E1207">
        <v>11.75</v>
      </c>
      <c r="F1207">
        <v>11</v>
      </c>
      <c r="G1207">
        <v>10</v>
      </c>
      <c r="H1207">
        <v>10</v>
      </c>
      <c r="I1207">
        <v>9.5</v>
      </c>
      <c r="J1207">
        <v>11.75</v>
      </c>
      <c r="K1207">
        <v>8.25</v>
      </c>
    </row>
    <row r="1208" spans="1:11" x14ac:dyDescent="0.35">
      <c r="A1208" s="204">
        <v>32827</v>
      </c>
      <c r="B1208" s="544">
        <v>13.5</v>
      </c>
      <c r="C1208">
        <v>12.75</v>
      </c>
      <c r="D1208">
        <v>11.75</v>
      </c>
      <c r="E1208">
        <v>11.75</v>
      </c>
      <c r="F1208">
        <v>10.75</v>
      </c>
      <c r="G1208">
        <v>10</v>
      </c>
      <c r="H1208">
        <v>10</v>
      </c>
      <c r="I1208">
        <v>9.5</v>
      </c>
      <c r="J1208">
        <v>11.87</v>
      </c>
      <c r="K1208">
        <v>8.25</v>
      </c>
    </row>
    <row r="1209" spans="1:11" x14ac:dyDescent="0.35">
      <c r="A1209" s="204">
        <v>32834</v>
      </c>
      <c r="B1209" s="544">
        <v>13.5</v>
      </c>
      <c r="C1209">
        <v>12.75</v>
      </c>
      <c r="D1209">
        <v>11.75</v>
      </c>
      <c r="E1209">
        <v>11.75</v>
      </c>
      <c r="F1209">
        <v>10.75</v>
      </c>
      <c r="G1209">
        <v>10</v>
      </c>
      <c r="H1209">
        <v>10</v>
      </c>
      <c r="I1209">
        <v>9.5</v>
      </c>
      <c r="J1209">
        <v>11.87</v>
      </c>
      <c r="K1209">
        <v>8.25</v>
      </c>
    </row>
    <row r="1210" spans="1:11" x14ac:dyDescent="0.35">
      <c r="A1210" s="204">
        <v>32841</v>
      </c>
      <c r="B1210" s="544">
        <v>13.5</v>
      </c>
      <c r="C1210">
        <v>12.75</v>
      </c>
      <c r="D1210">
        <v>11.75</v>
      </c>
      <c r="E1210">
        <v>11.75</v>
      </c>
      <c r="F1210">
        <v>10.75</v>
      </c>
      <c r="G1210">
        <v>10</v>
      </c>
      <c r="H1210">
        <v>10</v>
      </c>
      <c r="I1210">
        <v>9.5</v>
      </c>
      <c r="J1210">
        <v>11.85</v>
      </c>
      <c r="K1210">
        <v>8.25</v>
      </c>
    </row>
    <row r="1211" spans="1:11" x14ac:dyDescent="0.35">
      <c r="A1211" s="204">
        <v>32848</v>
      </c>
      <c r="B1211" s="544">
        <v>13.5</v>
      </c>
      <c r="C1211">
        <v>12.75</v>
      </c>
      <c r="D1211">
        <v>12</v>
      </c>
      <c r="E1211">
        <v>12</v>
      </c>
      <c r="F1211">
        <v>10.75</v>
      </c>
      <c r="G1211">
        <v>10.25</v>
      </c>
      <c r="H1211">
        <v>10</v>
      </c>
      <c r="I1211">
        <v>9.5</v>
      </c>
      <c r="J1211">
        <v>11.84</v>
      </c>
      <c r="K1211">
        <v>8.25</v>
      </c>
    </row>
    <row r="1212" spans="1:11" x14ac:dyDescent="0.35">
      <c r="A1212" s="204">
        <v>32855</v>
      </c>
      <c r="B1212" s="544">
        <v>13.5</v>
      </c>
      <c r="C1212">
        <v>12.75</v>
      </c>
      <c r="D1212">
        <v>12</v>
      </c>
      <c r="E1212">
        <v>12</v>
      </c>
      <c r="F1212">
        <v>10.75</v>
      </c>
      <c r="G1212">
        <v>10.25</v>
      </c>
      <c r="H1212">
        <v>10</v>
      </c>
      <c r="I1212">
        <v>9.5</v>
      </c>
      <c r="J1212">
        <v>11.83</v>
      </c>
      <c r="K1212">
        <v>8.25</v>
      </c>
    </row>
    <row r="1213" spans="1:11" x14ac:dyDescent="0.35">
      <c r="A1213" s="204">
        <v>32862</v>
      </c>
      <c r="B1213" s="544">
        <v>13.5</v>
      </c>
      <c r="C1213">
        <v>12.75</v>
      </c>
      <c r="D1213">
        <v>12</v>
      </c>
      <c r="E1213">
        <v>12</v>
      </c>
      <c r="F1213">
        <v>10.75</v>
      </c>
      <c r="G1213">
        <v>10.25</v>
      </c>
      <c r="H1213">
        <v>10</v>
      </c>
      <c r="I1213">
        <v>9.5</v>
      </c>
      <c r="J1213">
        <v>11.82</v>
      </c>
      <c r="K1213">
        <v>8.25</v>
      </c>
    </row>
    <row r="1214" spans="1:11" x14ac:dyDescent="0.35">
      <c r="A1214" s="204">
        <v>32869</v>
      </c>
      <c r="B1214" s="544">
        <v>13.5</v>
      </c>
      <c r="C1214">
        <v>12.75</v>
      </c>
      <c r="D1214">
        <v>12</v>
      </c>
      <c r="E1214">
        <v>12</v>
      </c>
      <c r="F1214">
        <v>10.75</v>
      </c>
      <c r="G1214">
        <v>10.25</v>
      </c>
      <c r="H1214">
        <v>10</v>
      </c>
      <c r="I1214">
        <v>9.5</v>
      </c>
      <c r="J1214">
        <v>11.82</v>
      </c>
      <c r="K1214">
        <v>8.25</v>
      </c>
    </row>
    <row r="1215" spans="1:11" x14ac:dyDescent="0.35">
      <c r="A1215" s="204">
        <v>32876</v>
      </c>
      <c r="B1215" s="544">
        <v>13.5</v>
      </c>
      <c r="C1215">
        <v>12.75</v>
      </c>
      <c r="D1215">
        <v>12</v>
      </c>
      <c r="E1215">
        <v>12</v>
      </c>
      <c r="F1215">
        <v>10.75</v>
      </c>
      <c r="G1215">
        <v>10.25</v>
      </c>
      <c r="H1215">
        <v>10</v>
      </c>
      <c r="I1215">
        <v>9.5</v>
      </c>
      <c r="J1215">
        <v>11.82</v>
      </c>
      <c r="K1215">
        <v>8.25</v>
      </c>
    </row>
    <row r="1216" spans="1:11" x14ac:dyDescent="0.35">
      <c r="A1216" s="204">
        <v>32883</v>
      </c>
      <c r="B1216" s="544">
        <v>13.5</v>
      </c>
      <c r="C1216">
        <v>12.75</v>
      </c>
      <c r="D1216">
        <v>12</v>
      </c>
      <c r="E1216">
        <v>12</v>
      </c>
      <c r="F1216">
        <v>10.75</v>
      </c>
      <c r="G1216">
        <v>10.25</v>
      </c>
      <c r="H1216">
        <v>10</v>
      </c>
      <c r="I1216">
        <v>9.5</v>
      </c>
      <c r="J1216">
        <v>11.79</v>
      </c>
      <c r="K1216">
        <v>8.25</v>
      </c>
    </row>
    <row r="1217" spans="1:11" x14ac:dyDescent="0.35">
      <c r="A1217" s="204">
        <v>32890</v>
      </c>
      <c r="B1217" s="544">
        <v>13.5</v>
      </c>
      <c r="C1217">
        <v>12.75</v>
      </c>
      <c r="D1217">
        <v>12</v>
      </c>
      <c r="E1217">
        <v>12</v>
      </c>
      <c r="F1217">
        <v>10.75</v>
      </c>
      <c r="G1217">
        <v>10.25</v>
      </c>
      <c r="H1217">
        <v>10</v>
      </c>
      <c r="I1217">
        <v>9.5</v>
      </c>
      <c r="J1217">
        <v>11.78</v>
      </c>
      <c r="K1217">
        <v>8.25</v>
      </c>
    </row>
    <row r="1218" spans="1:11" x14ac:dyDescent="0.35">
      <c r="A1218" s="204">
        <v>32897</v>
      </c>
      <c r="B1218" s="544">
        <v>13.5</v>
      </c>
      <c r="C1218">
        <v>12.75</v>
      </c>
      <c r="D1218">
        <v>12</v>
      </c>
      <c r="E1218">
        <v>12</v>
      </c>
      <c r="F1218">
        <v>10.75</v>
      </c>
      <c r="G1218">
        <v>10.25</v>
      </c>
      <c r="H1218">
        <v>10.25</v>
      </c>
      <c r="I1218">
        <v>9.5</v>
      </c>
      <c r="J1218">
        <v>11.5</v>
      </c>
      <c r="K1218">
        <v>8.25</v>
      </c>
    </row>
    <row r="1219" spans="1:11" x14ac:dyDescent="0.35">
      <c r="A1219" s="204">
        <v>32904</v>
      </c>
      <c r="B1219" s="544">
        <v>13.5</v>
      </c>
      <c r="C1219">
        <v>12.25</v>
      </c>
      <c r="D1219">
        <v>12</v>
      </c>
      <c r="E1219">
        <v>12</v>
      </c>
      <c r="F1219">
        <v>10.5</v>
      </c>
      <c r="G1219">
        <v>10.25</v>
      </c>
      <c r="H1219">
        <v>10.25</v>
      </c>
      <c r="I1219">
        <v>9.5</v>
      </c>
      <c r="J1219">
        <v>11.61</v>
      </c>
      <c r="K1219">
        <v>8.25</v>
      </c>
    </row>
    <row r="1220" spans="1:11" x14ac:dyDescent="0.35">
      <c r="A1220" s="204">
        <v>32911</v>
      </c>
      <c r="B1220" s="544">
        <v>13.5</v>
      </c>
      <c r="C1220">
        <v>12.25</v>
      </c>
      <c r="D1220">
        <v>12</v>
      </c>
      <c r="E1220">
        <v>12</v>
      </c>
      <c r="F1220">
        <v>10.5</v>
      </c>
      <c r="G1220">
        <v>10.25</v>
      </c>
      <c r="H1220">
        <v>10.25</v>
      </c>
      <c r="I1220">
        <v>9.5</v>
      </c>
      <c r="J1220">
        <v>11.9</v>
      </c>
      <c r="K1220">
        <v>8.25</v>
      </c>
    </row>
    <row r="1221" spans="1:11" x14ac:dyDescent="0.35">
      <c r="A1221" s="204">
        <v>32918</v>
      </c>
      <c r="B1221" s="544">
        <v>13.5</v>
      </c>
      <c r="C1221">
        <v>12.25</v>
      </c>
      <c r="D1221">
        <v>12</v>
      </c>
      <c r="E1221">
        <v>12</v>
      </c>
      <c r="F1221">
        <v>10.5</v>
      </c>
      <c r="G1221">
        <v>10.25</v>
      </c>
      <c r="H1221">
        <v>10.25</v>
      </c>
      <c r="I1221">
        <v>9.5</v>
      </c>
      <c r="J1221">
        <v>11.9</v>
      </c>
      <c r="K1221">
        <v>8.25</v>
      </c>
    </row>
    <row r="1222" spans="1:11" x14ac:dyDescent="0.35">
      <c r="A1222" s="204">
        <v>32925</v>
      </c>
      <c r="B1222" s="544">
        <v>14.25</v>
      </c>
      <c r="C1222">
        <v>13</v>
      </c>
      <c r="D1222">
        <v>12.75</v>
      </c>
      <c r="E1222">
        <v>12.75</v>
      </c>
      <c r="F1222">
        <v>11</v>
      </c>
      <c r="G1222">
        <v>10.75</v>
      </c>
      <c r="H1222">
        <v>10.75</v>
      </c>
      <c r="I1222">
        <v>9.5</v>
      </c>
      <c r="J1222">
        <v>12.19</v>
      </c>
      <c r="K1222">
        <v>8.75</v>
      </c>
    </row>
    <row r="1223" spans="1:11" x14ac:dyDescent="0.35">
      <c r="A1223" s="204">
        <v>32932</v>
      </c>
      <c r="B1223" s="544">
        <v>14.25</v>
      </c>
      <c r="C1223">
        <v>13</v>
      </c>
      <c r="D1223">
        <v>12.75</v>
      </c>
      <c r="E1223">
        <v>12.75</v>
      </c>
      <c r="F1223">
        <v>11</v>
      </c>
      <c r="G1223">
        <v>10.75</v>
      </c>
      <c r="H1223">
        <v>10.75</v>
      </c>
      <c r="I1223">
        <v>10.5</v>
      </c>
      <c r="J1223">
        <v>12.19</v>
      </c>
      <c r="K1223">
        <v>8.75</v>
      </c>
    </row>
    <row r="1224" spans="1:11" x14ac:dyDescent="0.35">
      <c r="A1224" s="204">
        <v>32939</v>
      </c>
      <c r="B1224" s="544">
        <v>14.25</v>
      </c>
      <c r="C1224">
        <v>13</v>
      </c>
      <c r="D1224">
        <v>12.75</v>
      </c>
      <c r="E1224">
        <v>12.75</v>
      </c>
      <c r="F1224">
        <v>11</v>
      </c>
      <c r="G1224">
        <v>10.75</v>
      </c>
      <c r="H1224">
        <v>10.75</v>
      </c>
      <c r="I1224">
        <v>10.5</v>
      </c>
      <c r="J1224">
        <v>12.26</v>
      </c>
      <c r="K1224">
        <v>8.75</v>
      </c>
    </row>
    <row r="1225" spans="1:11" x14ac:dyDescent="0.35">
      <c r="A1225" s="204">
        <v>32946</v>
      </c>
      <c r="B1225" s="544">
        <v>14.25</v>
      </c>
      <c r="C1225">
        <v>13</v>
      </c>
      <c r="D1225">
        <v>12.75</v>
      </c>
      <c r="E1225">
        <v>12.75</v>
      </c>
      <c r="F1225">
        <v>11</v>
      </c>
      <c r="G1225">
        <v>10.75</v>
      </c>
      <c r="H1225">
        <v>10.75</v>
      </c>
      <c r="I1225">
        <v>10.5</v>
      </c>
      <c r="J1225">
        <v>12.25</v>
      </c>
      <c r="K1225">
        <v>8.75</v>
      </c>
    </row>
    <row r="1226" spans="1:11" x14ac:dyDescent="0.35">
      <c r="A1226" s="204">
        <v>32953</v>
      </c>
      <c r="B1226" s="544">
        <v>14.25</v>
      </c>
      <c r="C1226">
        <v>13</v>
      </c>
      <c r="D1226">
        <v>13.25</v>
      </c>
      <c r="E1226">
        <v>13.25</v>
      </c>
      <c r="F1226">
        <v>11</v>
      </c>
      <c r="G1226">
        <v>10.75</v>
      </c>
      <c r="H1226">
        <v>10.75</v>
      </c>
      <c r="I1226">
        <v>10.5</v>
      </c>
      <c r="J1226">
        <v>12.22</v>
      </c>
      <c r="K1226">
        <v>8.75</v>
      </c>
    </row>
    <row r="1227" spans="1:11" x14ac:dyDescent="0.35">
      <c r="A1227" s="204">
        <v>32960</v>
      </c>
      <c r="B1227" s="544">
        <v>14.25</v>
      </c>
      <c r="C1227">
        <v>13</v>
      </c>
      <c r="D1227">
        <v>13.25</v>
      </c>
      <c r="E1227">
        <v>13.25</v>
      </c>
      <c r="F1227">
        <v>11</v>
      </c>
      <c r="G1227">
        <v>11</v>
      </c>
      <c r="H1227">
        <v>11</v>
      </c>
      <c r="I1227">
        <v>10.5</v>
      </c>
      <c r="J1227">
        <v>12.32</v>
      </c>
      <c r="K1227">
        <v>8.75</v>
      </c>
    </row>
    <row r="1228" spans="1:11" x14ac:dyDescent="0.35">
      <c r="A1228" s="204">
        <v>32967</v>
      </c>
      <c r="B1228" s="544">
        <v>14.25</v>
      </c>
      <c r="C1228">
        <v>13.25</v>
      </c>
      <c r="D1228">
        <v>13.25</v>
      </c>
      <c r="E1228">
        <v>13.25</v>
      </c>
      <c r="F1228">
        <v>11.25</v>
      </c>
      <c r="G1228">
        <v>11</v>
      </c>
      <c r="H1228">
        <v>11</v>
      </c>
      <c r="I1228">
        <v>10.5</v>
      </c>
      <c r="J1228">
        <v>12.32</v>
      </c>
      <c r="K1228">
        <v>8.75</v>
      </c>
    </row>
    <row r="1229" spans="1:11" x14ac:dyDescent="0.35">
      <c r="A1229" s="204">
        <v>32974</v>
      </c>
      <c r="B1229" s="544">
        <v>14.25</v>
      </c>
      <c r="C1229">
        <v>13.5</v>
      </c>
      <c r="D1229">
        <v>13.75</v>
      </c>
      <c r="E1229">
        <v>13.75</v>
      </c>
      <c r="F1229">
        <v>11.25</v>
      </c>
      <c r="G1229">
        <v>11</v>
      </c>
      <c r="H1229">
        <v>11</v>
      </c>
      <c r="I1229">
        <v>10.5</v>
      </c>
      <c r="J1229">
        <v>12.32</v>
      </c>
      <c r="K1229">
        <v>8.75</v>
      </c>
    </row>
    <row r="1230" spans="1:11" x14ac:dyDescent="0.35">
      <c r="A1230" s="204">
        <v>32981</v>
      </c>
      <c r="B1230" s="544">
        <v>14.25</v>
      </c>
      <c r="C1230">
        <v>13.5</v>
      </c>
      <c r="D1230">
        <v>13.75</v>
      </c>
      <c r="E1230">
        <v>13.75</v>
      </c>
      <c r="F1230">
        <v>11.25</v>
      </c>
      <c r="G1230">
        <v>11.25</v>
      </c>
      <c r="H1230">
        <v>11.25</v>
      </c>
      <c r="I1230">
        <v>10.5</v>
      </c>
      <c r="J1230">
        <v>12.42</v>
      </c>
      <c r="K1230">
        <v>8.75</v>
      </c>
    </row>
    <row r="1231" spans="1:11" x14ac:dyDescent="0.35">
      <c r="A1231" s="204">
        <v>32988</v>
      </c>
      <c r="B1231" s="544">
        <v>14.75</v>
      </c>
      <c r="C1231">
        <v>14.25</v>
      </c>
      <c r="D1231">
        <v>14.25</v>
      </c>
      <c r="E1231">
        <v>14.25</v>
      </c>
      <c r="F1231">
        <v>12</v>
      </c>
      <c r="G1231">
        <v>12</v>
      </c>
      <c r="H1231">
        <v>11.75</v>
      </c>
      <c r="I1231">
        <v>11</v>
      </c>
      <c r="J1231">
        <v>12.58</v>
      </c>
      <c r="K1231">
        <v>9.5</v>
      </c>
    </row>
    <row r="1232" spans="1:11" x14ac:dyDescent="0.35">
      <c r="A1232" s="204">
        <v>32995</v>
      </c>
      <c r="B1232" s="544">
        <v>14.75</v>
      </c>
      <c r="C1232">
        <v>14.25</v>
      </c>
      <c r="D1232">
        <v>14.25</v>
      </c>
      <c r="E1232">
        <v>14.25</v>
      </c>
      <c r="F1232">
        <v>12</v>
      </c>
      <c r="G1232">
        <v>12</v>
      </c>
      <c r="H1232">
        <v>11.75</v>
      </c>
      <c r="I1232">
        <v>11</v>
      </c>
      <c r="J1232">
        <v>12.58</v>
      </c>
      <c r="K1232">
        <v>9.5</v>
      </c>
    </row>
    <row r="1233" spans="1:11" x14ac:dyDescent="0.35">
      <c r="A1233" s="204">
        <v>33002</v>
      </c>
      <c r="B1233" s="544">
        <v>14.75</v>
      </c>
      <c r="C1233">
        <v>14.25</v>
      </c>
      <c r="D1233">
        <v>14.25</v>
      </c>
      <c r="E1233">
        <v>14.25</v>
      </c>
      <c r="F1233">
        <v>12</v>
      </c>
      <c r="G1233">
        <v>12</v>
      </c>
      <c r="H1233">
        <v>11.75</v>
      </c>
      <c r="I1233">
        <v>11</v>
      </c>
      <c r="J1233">
        <v>12.61</v>
      </c>
      <c r="K1233">
        <v>9.5</v>
      </c>
    </row>
    <row r="1234" spans="1:11" x14ac:dyDescent="0.35">
      <c r="A1234" s="204">
        <v>33009</v>
      </c>
      <c r="B1234" s="544">
        <v>14.75</v>
      </c>
      <c r="C1234">
        <v>14.25</v>
      </c>
      <c r="D1234">
        <v>14.25</v>
      </c>
      <c r="E1234">
        <v>14.25</v>
      </c>
      <c r="F1234">
        <v>12.25</v>
      </c>
      <c r="G1234">
        <v>12</v>
      </c>
      <c r="H1234">
        <v>11.75</v>
      </c>
      <c r="I1234">
        <v>11</v>
      </c>
      <c r="J1234">
        <v>12.61</v>
      </c>
      <c r="K1234">
        <v>9.5</v>
      </c>
    </row>
    <row r="1235" spans="1:11" x14ac:dyDescent="0.35">
      <c r="A1235" s="204">
        <v>33016</v>
      </c>
      <c r="B1235" s="544">
        <v>14.75</v>
      </c>
      <c r="C1235">
        <v>14.25</v>
      </c>
      <c r="D1235">
        <v>14.25</v>
      </c>
      <c r="E1235">
        <v>14.25</v>
      </c>
      <c r="F1235">
        <v>12.25</v>
      </c>
      <c r="G1235">
        <v>12</v>
      </c>
      <c r="H1235">
        <v>11.75</v>
      </c>
      <c r="I1235">
        <v>11</v>
      </c>
      <c r="J1235">
        <v>12.62</v>
      </c>
      <c r="K1235">
        <v>9.5</v>
      </c>
    </row>
    <row r="1236" spans="1:11" x14ac:dyDescent="0.35">
      <c r="A1236" s="204">
        <v>33023</v>
      </c>
      <c r="B1236" s="544">
        <v>14.75</v>
      </c>
      <c r="C1236">
        <v>14.25</v>
      </c>
      <c r="D1236">
        <v>14.25</v>
      </c>
      <c r="E1236">
        <v>14.25</v>
      </c>
      <c r="F1236">
        <v>12.25</v>
      </c>
      <c r="G1236">
        <v>12</v>
      </c>
      <c r="H1236">
        <v>11.75</v>
      </c>
      <c r="I1236">
        <v>11</v>
      </c>
      <c r="J1236">
        <v>12.8</v>
      </c>
      <c r="K1236">
        <v>9.5</v>
      </c>
    </row>
    <row r="1237" spans="1:11" x14ac:dyDescent="0.35">
      <c r="A1237" s="204">
        <v>33030</v>
      </c>
      <c r="B1237" s="544">
        <v>14.75</v>
      </c>
      <c r="C1237">
        <v>14.25</v>
      </c>
      <c r="D1237">
        <v>14.25</v>
      </c>
      <c r="E1237">
        <v>14.25</v>
      </c>
      <c r="F1237">
        <v>12.25</v>
      </c>
      <c r="G1237">
        <v>12</v>
      </c>
      <c r="H1237">
        <v>11.75</v>
      </c>
      <c r="I1237">
        <v>11</v>
      </c>
      <c r="J1237">
        <v>12.8</v>
      </c>
      <c r="K1237">
        <v>9.5</v>
      </c>
    </row>
    <row r="1238" spans="1:11" x14ac:dyDescent="0.35">
      <c r="A1238" s="204">
        <v>33037</v>
      </c>
      <c r="B1238" s="544">
        <v>14.75</v>
      </c>
      <c r="C1238">
        <v>14.25</v>
      </c>
      <c r="D1238">
        <v>14.25</v>
      </c>
      <c r="E1238">
        <v>14.25</v>
      </c>
      <c r="F1238">
        <v>12.25</v>
      </c>
      <c r="G1238">
        <v>12</v>
      </c>
      <c r="H1238">
        <v>11.75</v>
      </c>
      <c r="I1238">
        <v>11</v>
      </c>
      <c r="J1238">
        <v>12.5</v>
      </c>
      <c r="K1238">
        <v>9.5</v>
      </c>
    </row>
    <row r="1239" spans="1:11" x14ac:dyDescent="0.35">
      <c r="A1239" s="204">
        <v>33044</v>
      </c>
      <c r="B1239" s="544">
        <v>14.75</v>
      </c>
      <c r="C1239">
        <v>14.25</v>
      </c>
      <c r="D1239">
        <v>14.25</v>
      </c>
      <c r="E1239">
        <v>14.25</v>
      </c>
      <c r="F1239">
        <v>12.25</v>
      </c>
      <c r="G1239">
        <v>12</v>
      </c>
      <c r="H1239">
        <v>11.75</v>
      </c>
      <c r="I1239">
        <v>11</v>
      </c>
      <c r="J1239">
        <v>12.58</v>
      </c>
      <c r="K1239">
        <v>9.5</v>
      </c>
    </row>
    <row r="1240" spans="1:11" x14ac:dyDescent="0.35">
      <c r="A1240" s="204">
        <v>33051</v>
      </c>
      <c r="B1240" s="544">
        <v>14.75</v>
      </c>
      <c r="C1240">
        <v>14.25</v>
      </c>
      <c r="D1240">
        <v>14.25</v>
      </c>
      <c r="E1240">
        <v>14.25</v>
      </c>
      <c r="F1240">
        <v>12.25</v>
      </c>
      <c r="G1240">
        <v>12</v>
      </c>
      <c r="H1240">
        <v>11.75</v>
      </c>
      <c r="I1240">
        <v>11</v>
      </c>
      <c r="J1240">
        <v>12.68</v>
      </c>
      <c r="K1240">
        <v>9.5</v>
      </c>
    </row>
    <row r="1241" spans="1:11" x14ac:dyDescent="0.35">
      <c r="A1241" s="204">
        <v>33058</v>
      </c>
      <c r="B1241" s="544">
        <v>14.75</v>
      </c>
      <c r="C1241">
        <v>14.25</v>
      </c>
      <c r="D1241">
        <v>14.25</v>
      </c>
      <c r="E1241">
        <v>14.25</v>
      </c>
      <c r="F1241">
        <v>12.25</v>
      </c>
      <c r="G1241">
        <v>12</v>
      </c>
      <c r="H1241">
        <v>11.75</v>
      </c>
      <c r="I1241">
        <v>11</v>
      </c>
      <c r="J1241">
        <v>12.68</v>
      </c>
      <c r="K1241">
        <v>9.5</v>
      </c>
    </row>
    <row r="1242" spans="1:11" x14ac:dyDescent="0.35">
      <c r="A1242" s="204">
        <v>33065</v>
      </c>
      <c r="B1242" s="544">
        <v>14.75</v>
      </c>
      <c r="C1242">
        <v>14.25</v>
      </c>
      <c r="D1242">
        <v>14.25</v>
      </c>
      <c r="E1242">
        <v>14.25</v>
      </c>
      <c r="F1242">
        <v>12.25</v>
      </c>
      <c r="G1242">
        <v>12</v>
      </c>
      <c r="H1242">
        <v>11.75</v>
      </c>
      <c r="I1242">
        <v>11</v>
      </c>
      <c r="J1242">
        <v>12.52</v>
      </c>
      <c r="K1242">
        <v>9.5</v>
      </c>
    </row>
    <row r="1243" spans="1:11" x14ac:dyDescent="0.35">
      <c r="A1243" s="204">
        <v>33072</v>
      </c>
      <c r="B1243" s="544">
        <v>14.75</v>
      </c>
      <c r="C1243">
        <v>14.25</v>
      </c>
      <c r="D1243">
        <v>14.25</v>
      </c>
      <c r="E1243">
        <v>14.25</v>
      </c>
      <c r="F1243">
        <v>12.25</v>
      </c>
      <c r="G1243">
        <v>12</v>
      </c>
      <c r="H1243">
        <v>11.75</v>
      </c>
      <c r="I1243">
        <v>11</v>
      </c>
      <c r="J1243">
        <v>12.45</v>
      </c>
      <c r="K1243">
        <v>9.5</v>
      </c>
    </row>
    <row r="1244" spans="1:11" x14ac:dyDescent="0.35">
      <c r="A1244" s="204">
        <v>33079</v>
      </c>
      <c r="B1244" s="544">
        <v>14.75</v>
      </c>
      <c r="C1244">
        <v>14.25</v>
      </c>
      <c r="D1244">
        <v>14.25</v>
      </c>
      <c r="E1244">
        <v>14.25</v>
      </c>
      <c r="F1244">
        <v>12.25</v>
      </c>
      <c r="G1244">
        <v>12</v>
      </c>
      <c r="H1244">
        <v>11.75</v>
      </c>
      <c r="I1244">
        <v>11</v>
      </c>
      <c r="J1244">
        <v>12.37</v>
      </c>
      <c r="K1244">
        <v>9.5</v>
      </c>
    </row>
    <row r="1245" spans="1:11" x14ac:dyDescent="0.35">
      <c r="A1245" s="204">
        <v>33086</v>
      </c>
      <c r="B1245" s="544">
        <v>14.75</v>
      </c>
      <c r="C1245">
        <v>14.25</v>
      </c>
      <c r="D1245">
        <v>14</v>
      </c>
      <c r="E1245">
        <v>13.75</v>
      </c>
      <c r="F1245">
        <v>12.25</v>
      </c>
      <c r="G1245">
        <v>12</v>
      </c>
      <c r="H1245">
        <v>11.75</v>
      </c>
      <c r="I1245">
        <v>11</v>
      </c>
      <c r="J1245">
        <v>12.26</v>
      </c>
      <c r="K1245">
        <v>9.5</v>
      </c>
    </row>
    <row r="1246" spans="1:11" x14ac:dyDescent="0.35">
      <c r="A1246" s="204">
        <v>33093</v>
      </c>
      <c r="B1246" s="544">
        <v>14.75</v>
      </c>
      <c r="C1246">
        <v>14.25</v>
      </c>
      <c r="D1246">
        <v>14</v>
      </c>
      <c r="E1246">
        <v>13.75</v>
      </c>
      <c r="F1246">
        <v>12.25</v>
      </c>
      <c r="G1246">
        <v>11.75</v>
      </c>
      <c r="H1246">
        <v>11.25</v>
      </c>
      <c r="I1246">
        <v>11</v>
      </c>
      <c r="J1246">
        <v>12.2</v>
      </c>
      <c r="K1246">
        <v>9.5</v>
      </c>
    </row>
    <row r="1247" spans="1:11" x14ac:dyDescent="0.35">
      <c r="A1247" s="204">
        <v>33100</v>
      </c>
      <c r="B1247" s="544">
        <v>14.75</v>
      </c>
      <c r="C1247">
        <v>14.25</v>
      </c>
      <c r="D1247">
        <v>14</v>
      </c>
      <c r="E1247">
        <v>13.75</v>
      </c>
      <c r="F1247">
        <v>12.25</v>
      </c>
      <c r="G1247">
        <v>11.75</v>
      </c>
      <c r="H1247">
        <v>11.25</v>
      </c>
      <c r="I1247">
        <v>11</v>
      </c>
      <c r="J1247">
        <v>12.12</v>
      </c>
      <c r="K1247">
        <v>9.5</v>
      </c>
    </row>
    <row r="1248" spans="1:11" x14ac:dyDescent="0.35">
      <c r="A1248" s="204">
        <v>33107</v>
      </c>
      <c r="B1248" s="544">
        <v>14.25</v>
      </c>
      <c r="C1248">
        <v>13.75</v>
      </c>
      <c r="D1248">
        <v>13.75</v>
      </c>
      <c r="E1248">
        <v>13.5</v>
      </c>
      <c r="F1248">
        <v>11.5</v>
      </c>
      <c r="G1248">
        <v>11</v>
      </c>
      <c r="H1248">
        <v>11</v>
      </c>
      <c r="I1248">
        <v>10.5</v>
      </c>
      <c r="J1248">
        <v>11.85</v>
      </c>
      <c r="K1248">
        <v>9</v>
      </c>
    </row>
    <row r="1249" spans="1:11" x14ac:dyDescent="0.35">
      <c r="A1249" s="204">
        <v>33114</v>
      </c>
      <c r="B1249" s="544">
        <v>14.25</v>
      </c>
      <c r="C1249">
        <v>13.75</v>
      </c>
      <c r="D1249">
        <v>13.75</v>
      </c>
      <c r="E1249">
        <v>13.5</v>
      </c>
      <c r="F1249">
        <v>11.5</v>
      </c>
      <c r="G1249">
        <v>11</v>
      </c>
      <c r="H1249">
        <v>11</v>
      </c>
      <c r="I1249">
        <v>10.5</v>
      </c>
      <c r="J1249">
        <v>11.79</v>
      </c>
      <c r="K1249">
        <v>9</v>
      </c>
    </row>
    <row r="1250" spans="1:11" x14ac:dyDescent="0.35">
      <c r="A1250" s="204">
        <v>33121</v>
      </c>
      <c r="B1250" s="544">
        <v>14.25</v>
      </c>
      <c r="C1250">
        <v>13.75</v>
      </c>
      <c r="D1250">
        <v>13.75</v>
      </c>
      <c r="E1250">
        <v>13.5</v>
      </c>
      <c r="F1250">
        <v>11.5</v>
      </c>
      <c r="G1250">
        <v>11</v>
      </c>
      <c r="H1250">
        <v>11</v>
      </c>
      <c r="I1250">
        <v>10.5</v>
      </c>
      <c r="J1250">
        <v>11.7</v>
      </c>
      <c r="K1250">
        <v>9</v>
      </c>
    </row>
    <row r="1251" spans="1:11" x14ac:dyDescent="0.35">
      <c r="A1251" s="204">
        <v>33128</v>
      </c>
      <c r="B1251" s="544">
        <v>14.25</v>
      </c>
      <c r="C1251">
        <v>13.5</v>
      </c>
      <c r="D1251">
        <v>13.5</v>
      </c>
      <c r="E1251">
        <v>13.5</v>
      </c>
      <c r="F1251">
        <v>11.5</v>
      </c>
      <c r="G1251">
        <v>11</v>
      </c>
      <c r="H1251">
        <v>11</v>
      </c>
      <c r="I1251">
        <v>10.5</v>
      </c>
      <c r="J1251">
        <v>11.6</v>
      </c>
      <c r="K1251">
        <v>9</v>
      </c>
    </row>
    <row r="1252" spans="1:11" x14ac:dyDescent="0.35">
      <c r="A1252" s="204">
        <v>33135</v>
      </c>
      <c r="B1252" s="544">
        <v>14.25</v>
      </c>
      <c r="C1252">
        <v>13.5</v>
      </c>
      <c r="D1252">
        <v>13.5</v>
      </c>
      <c r="E1252">
        <v>13.5</v>
      </c>
      <c r="F1252">
        <v>11.25</v>
      </c>
      <c r="G1252">
        <v>11</v>
      </c>
      <c r="H1252">
        <v>11</v>
      </c>
      <c r="I1252">
        <v>10.5</v>
      </c>
      <c r="J1252">
        <v>11.48</v>
      </c>
      <c r="K1252">
        <v>9</v>
      </c>
    </row>
    <row r="1253" spans="1:11" x14ac:dyDescent="0.35">
      <c r="A1253" s="204">
        <v>33142</v>
      </c>
      <c r="B1253" s="544">
        <v>13.75</v>
      </c>
      <c r="C1253">
        <v>13.25</v>
      </c>
      <c r="D1253">
        <v>13.25</v>
      </c>
      <c r="E1253">
        <v>13.25</v>
      </c>
      <c r="F1253">
        <v>11</v>
      </c>
      <c r="G1253">
        <v>10.75</v>
      </c>
      <c r="H1253">
        <v>10.75</v>
      </c>
      <c r="I1253">
        <v>10</v>
      </c>
      <c r="J1253">
        <v>11.39</v>
      </c>
      <c r="K1253">
        <v>8.5</v>
      </c>
    </row>
    <row r="1254" spans="1:11" x14ac:dyDescent="0.35">
      <c r="A1254" s="204">
        <v>33149</v>
      </c>
      <c r="B1254" s="544">
        <v>13.75</v>
      </c>
      <c r="C1254">
        <v>13.25</v>
      </c>
      <c r="D1254">
        <v>13.25</v>
      </c>
      <c r="E1254">
        <v>13.25</v>
      </c>
      <c r="F1254">
        <v>11</v>
      </c>
      <c r="G1254">
        <v>10.75</v>
      </c>
      <c r="H1254">
        <v>10.75</v>
      </c>
      <c r="I1254">
        <v>10</v>
      </c>
      <c r="J1254">
        <v>11.43</v>
      </c>
      <c r="K1254">
        <v>8.5</v>
      </c>
    </row>
    <row r="1255" spans="1:11" x14ac:dyDescent="0.35">
      <c r="A1255" s="204">
        <v>33156</v>
      </c>
      <c r="B1255" s="544">
        <v>13.75</v>
      </c>
      <c r="C1255">
        <v>13.25</v>
      </c>
      <c r="D1255">
        <v>13.25</v>
      </c>
      <c r="E1255">
        <v>13.25</v>
      </c>
      <c r="F1255">
        <v>11</v>
      </c>
      <c r="G1255">
        <v>10.75</v>
      </c>
      <c r="H1255">
        <v>10.75</v>
      </c>
      <c r="I1255">
        <v>10</v>
      </c>
      <c r="J1255">
        <v>11.37</v>
      </c>
      <c r="K1255">
        <v>8.5</v>
      </c>
    </row>
    <row r="1256" spans="1:11" x14ac:dyDescent="0.35">
      <c r="A1256" s="204">
        <v>33163</v>
      </c>
      <c r="B1256" s="544">
        <v>13.75</v>
      </c>
      <c r="C1256">
        <v>13.25</v>
      </c>
      <c r="D1256">
        <v>13.25</v>
      </c>
      <c r="E1256">
        <v>13.25</v>
      </c>
      <c r="F1256">
        <v>11</v>
      </c>
      <c r="G1256">
        <v>10.75</v>
      </c>
      <c r="H1256">
        <v>10.75</v>
      </c>
      <c r="I1256">
        <v>10</v>
      </c>
      <c r="J1256">
        <v>11.37</v>
      </c>
      <c r="K1256">
        <v>8.5</v>
      </c>
    </row>
    <row r="1257" spans="1:11" x14ac:dyDescent="0.35">
      <c r="A1257" s="204">
        <v>33170</v>
      </c>
      <c r="B1257" s="544">
        <v>13.75</v>
      </c>
      <c r="C1257">
        <v>13.25</v>
      </c>
      <c r="D1257">
        <v>13.25</v>
      </c>
      <c r="E1257">
        <v>13.25</v>
      </c>
      <c r="F1257">
        <v>11.25</v>
      </c>
      <c r="G1257">
        <v>10.75</v>
      </c>
      <c r="H1257">
        <v>10.75</v>
      </c>
      <c r="I1257">
        <v>10</v>
      </c>
      <c r="J1257">
        <v>11.44</v>
      </c>
      <c r="K1257">
        <v>8.5</v>
      </c>
    </row>
    <row r="1258" spans="1:11" x14ac:dyDescent="0.35">
      <c r="A1258" s="204">
        <v>33177</v>
      </c>
      <c r="B1258" s="544">
        <v>13.75</v>
      </c>
      <c r="C1258">
        <v>13.25</v>
      </c>
      <c r="D1258">
        <v>13.25</v>
      </c>
      <c r="E1258">
        <v>13.25</v>
      </c>
      <c r="F1258">
        <v>11.25</v>
      </c>
      <c r="G1258">
        <v>10.75</v>
      </c>
      <c r="H1258">
        <v>10.75</v>
      </c>
      <c r="I1258">
        <v>10</v>
      </c>
      <c r="J1258">
        <v>11.44</v>
      </c>
      <c r="K1258">
        <v>8.5</v>
      </c>
    </row>
    <row r="1259" spans="1:11" x14ac:dyDescent="0.35">
      <c r="A1259" s="204">
        <v>33184</v>
      </c>
      <c r="B1259" s="544">
        <v>13.75</v>
      </c>
      <c r="C1259">
        <v>13.25</v>
      </c>
      <c r="D1259">
        <v>13.25</v>
      </c>
      <c r="E1259">
        <v>13.25</v>
      </c>
      <c r="F1259">
        <v>11.25</v>
      </c>
      <c r="G1259">
        <v>10.75</v>
      </c>
      <c r="H1259">
        <v>10.75</v>
      </c>
      <c r="I1259">
        <v>10</v>
      </c>
      <c r="J1259">
        <v>11.39</v>
      </c>
      <c r="K1259">
        <v>8.5</v>
      </c>
    </row>
    <row r="1260" spans="1:11" x14ac:dyDescent="0.35">
      <c r="A1260" s="204">
        <v>33191</v>
      </c>
      <c r="B1260" s="544">
        <v>13.75</v>
      </c>
      <c r="C1260">
        <v>13.25</v>
      </c>
      <c r="D1260">
        <v>13.25</v>
      </c>
      <c r="E1260">
        <v>13.25</v>
      </c>
      <c r="F1260">
        <v>11.25</v>
      </c>
      <c r="G1260">
        <v>10.75</v>
      </c>
      <c r="H1260">
        <v>10.75</v>
      </c>
      <c r="I1260">
        <v>10</v>
      </c>
      <c r="J1260">
        <v>11.27</v>
      </c>
      <c r="K1260">
        <v>8.5</v>
      </c>
    </row>
    <row r="1261" spans="1:11" x14ac:dyDescent="0.35">
      <c r="A1261" s="204">
        <v>33198</v>
      </c>
      <c r="B1261" s="544">
        <v>13.75</v>
      </c>
      <c r="C1261">
        <v>13.25</v>
      </c>
      <c r="D1261">
        <v>13</v>
      </c>
      <c r="E1261">
        <v>13</v>
      </c>
      <c r="F1261">
        <v>11</v>
      </c>
      <c r="G1261">
        <v>10.75</v>
      </c>
      <c r="H1261">
        <v>10.75</v>
      </c>
      <c r="I1261">
        <v>10</v>
      </c>
      <c r="J1261">
        <v>11.13</v>
      </c>
      <c r="K1261">
        <v>8.5</v>
      </c>
    </row>
    <row r="1262" spans="1:11" x14ac:dyDescent="0.35">
      <c r="A1262" s="204">
        <v>33205</v>
      </c>
      <c r="B1262" s="544">
        <v>13.25</v>
      </c>
      <c r="C1262">
        <v>12.75</v>
      </c>
      <c r="D1262">
        <v>12.75</v>
      </c>
      <c r="E1262">
        <v>12.75</v>
      </c>
      <c r="F1262">
        <v>10.5</v>
      </c>
      <c r="G1262">
        <v>10.25</v>
      </c>
      <c r="H1262">
        <v>10.25</v>
      </c>
      <c r="I1262">
        <v>9.5</v>
      </c>
      <c r="J1262">
        <v>11.08</v>
      </c>
      <c r="K1262">
        <v>8</v>
      </c>
    </row>
    <row r="1263" spans="1:11" x14ac:dyDescent="0.35">
      <c r="A1263" s="204">
        <v>33212</v>
      </c>
      <c r="B1263" s="544">
        <v>13.25</v>
      </c>
      <c r="C1263">
        <v>12.75</v>
      </c>
      <c r="D1263">
        <v>12.75</v>
      </c>
      <c r="E1263">
        <v>12.75</v>
      </c>
      <c r="F1263">
        <v>10.5</v>
      </c>
      <c r="G1263">
        <v>10.25</v>
      </c>
      <c r="H1263">
        <v>10.25</v>
      </c>
      <c r="I1263">
        <v>9.5</v>
      </c>
      <c r="J1263">
        <v>11.04</v>
      </c>
      <c r="K1263">
        <v>8</v>
      </c>
    </row>
    <row r="1264" spans="1:11" x14ac:dyDescent="0.35">
      <c r="A1264" s="204">
        <v>33219</v>
      </c>
      <c r="B1264" s="544">
        <v>13.25</v>
      </c>
      <c r="C1264">
        <v>12.75</v>
      </c>
      <c r="D1264">
        <v>12.75</v>
      </c>
      <c r="E1264">
        <v>12.5</v>
      </c>
      <c r="F1264">
        <v>10.5</v>
      </c>
      <c r="G1264">
        <v>10.25</v>
      </c>
      <c r="H1264">
        <v>10.25</v>
      </c>
      <c r="I1264">
        <v>9.5</v>
      </c>
      <c r="J1264">
        <v>10.94</v>
      </c>
      <c r="K1264">
        <v>8</v>
      </c>
    </row>
    <row r="1265" spans="1:11" x14ac:dyDescent="0.35">
      <c r="A1265" s="204">
        <v>33226</v>
      </c>
      <c r="B1265" s="544">
        <v>13.25</v>
      </c>
      <c r="C1265">
        <v>12.5</v>
      </c>
      <c r="D1265">
        <v>12.5</v>
      </c>
      <c r="E1265">
        <v>12.5</v>
      </c>
      <c r="F1265">
        <v>10.25</v>
      </c>
      <c r="G1265">
        <v>10.25</v>
      </c>
      <c r="H1265">
        <v>10.25</v>
      </c>
      <c r="I1265">
        <v>9.5</v>
      </c>
      <c r="J1265">
        <v>10.79</v>
      </c>
      <c r="K1265">
        <v>8</v>
      </c>
    </row>
    <row r="1266" spans="1:11" x14ac:dyDescent="0.35">
      <c r="A1266" s="204">
        <v>33233</v>
      </c>
      <c r="B1266" s="544">
        <v>12.75</v>
      </c>
      <c r="C1266">
        <v>12.5</v>
      </c>
      <c r="D1266">
        <v>12.5</v>
      </c>
      <c r="E1266">
        <v>12.5</v>
      </c>
      <c r="F1266">
        <v>10.25</v>
      </c>
      <c r="G1266">
        <v>10</v>
      </c>
      <c r="H1266">
        <v>10</v>
      </c>
      <c r="I1266">
        <v>9.5</v>
      </c>
      <c r="J1266">
        <v>10.56</v>
      </c>
      <c r="K1266">
        <v>7.5</v>
      </c>
    </row>
    <row r="1267" spans="1:11" x14ac:dyDescent="0.35">
      <c r="A1267" s="204">
        <v>33240</v>
      </c>
      <c r="B1267" s="544">
        <v>12.75</v>
      </c>
      <c r="C1267">
        <v>12.5</v>
      </c>
      <c r="D1267">
        <v>12.5</v>
      </c>
      <c r="E1267">
        <v>12.5</v>
      </c>
      <c r="F1267">
        <v>10.25</v>
      </c>
      <c r="G1267">
        <v>10</v>
      </c>
      <c r="H1267">
        <v>10</v>
      </c>
      <c r="I1267">
        <v>9.5</v>
      </c>
      <c r="J1267">
        <v>10.5</v>
      </c>
      <c r="K1267">
        <v>7.5</v>
      </c>
    </row>
    <row r="1268" spans="1:11" x14ac:dyDescent="0.35">
      <c r="A1268" s="204">
        <v>33247</v>
      </c>
      <c r="B1268" s="544">
        <v>12.75</v>
      </c>
      <c r="C1268">
        <v>12.5</v>
      </c>
      <c r="D1268">
        <v>12.5</v>
      </c>
      <c r="E1268">
        <v>12.5</v>
      </c>
      <c r="F1268">
        <v>10.25</v>
      </c>
      <c r="G1268">
        <v>10</v>
      </c>
      <c r="H1268">
        <v>10</v>
      </c>
      <c r="I1268">
        <v>9.5</v>
      </c>
      <c r="J1268">
        <v>10.28</v>
      </c>
      <c r="K1268">
        <v>7.25</v>
      </c>
    </row>
    <row r="1269" spans="1:11" x14ac:dyDescent="0.35">
      <c r="A1269" s="204">
        <v>33254</v>
      </c>
      <c r="B1269" s="544">
        <v>12.75</v>
      </c>
      <c r="C1269">
        <v>12.25</v>
      </c>
      <c r="D1269">
        <v>12.5</v>
      </c>
      <c r="E1269">
        <v>12.5</v>
      </c>
      <c r="F1269">
        <v>10</v>
      </c>
      <c r="G1269">
        <v>10</v>
      </c>
      <c r="H1269">
        <v>10</v>
      </c>
      <c r="I1269">
        <v>9.5</v>
      </c>
      <c r="J1269">
        <v>10.08</v>
      </c>
      <c r="K1269">
        <v>7.25</v>
      </c>
    </row>
    <row r="1270" spans="1:11" x14ac:dyDescent="0.35">
      <c r="A1270" s="204">
        <v>33261</v>
      </c>
      <c r="B1270" s="544">
        <v>12.25</v>
      </c>
      <c r="C1270">
        <v>12</v>
      </c>
      <c r="D1270">
        <v>12</v>
      </c>
      <c r="E1270">
        <v>12</v>
      </c>
      <c r="F1270">
        <v>9.75</v>
      </c>
      <c r="G1270">
        <v>9.5</v>
      </c>
      <c r="H1270">
        <v>9.75</v>
      </c>
      <c r="I1270">
        <v>9</v>
      </c>
      <c r="J1270">
        <v>9.86</v>
      </c>
      <c r="K1270">
        <v>7</v>
      </c>
    </row>
    <row r="1271" spans="1:11" x14ac:dyDescent="0.35">
      <c r="A1271" s="204">
        <v>33268</v>
      </c>
      <c r="B1271" s="544">
        <v>12.25</v>
      </c>
      <c r="C1271">
        <v>11.75</v>
      </c>
      <c r="D1271">
        <v>12</v>
      </c>
      <c r="E1271">
        <v>12</v>
      </c>
      <c r="F1271">
        <v>9.5</v>
      </c>
      <c r="G1271">
        <v>9.5</v>
      </c>
      <c r="H1271">
        <v>9.75</v>
      </c>
      <c r="I1271">
        <v>9</v>
      </c>
      <c r="J1271">
        <v>9.66</v>
      </c>
      <c r="K1271">
        <v>6.75</v>
      </c>
    </row>
    <row r="1272" spans="1:11" x14ac:dyDescent="0.35">
      <c r="A1272" s="204">
        <v>33275</v>
      </c>
      <c r="B1272" s="544">
        <v>11.75</v>
      </c>
      <c r="C1272">
        <v>11.5</v>
      </c>
      <c r="D1272">
        <v>12</v>
      </c>
      <c r="E1272">
        <v>11.75</v>
      </c>
      <c r="F1272">
        <v>9.25</v>
      </c>
      <c r="G1272">
        <v>9.5</v>
      </c>
      <c r="H1272">
        <v>9.5</v>
      </c>
      <c r="I1272">
        <v>8.5</v>
      </c>
      <c r="J1272">
        <v>9.51</v>
      </c>
      <c r="K1272">
        <v>6.5</v>
      </c>
    </row>
    <row r="1273" spans="1:11" x14ac:dyDescent="0.35">
      <c r="A1273" s="204">
        <v>33282</v>
      </c>
      <c r="B1273" s="544">
        <v>11.75</v>
      </c>
      <c r="C1273">
        <v>11.25</v>
      </c>
      <c r="D1273">
        <v>11.75</v>
      </c>
      <c r="E1273">
        <v>11.75</v>
      </c>
      <c r="F1273">
        <v>9</v>
      </c>
      <c r="G1273">
        <v>9.25</v>
      </c>
      <c r="H1273">
        <v>9.25</v>
      </c>
      <c r="I1273">
        <v>8.5</v>
      </c>
      <c r="J1273">
        <v>9.27</v>
      </c>
      <c r="K1273">
        <v>6.5</v>
      </c>
    </row>
    <row r="1274" spans="1:11" x14ac:dyDescent="0.35">
      <c r="A1274" s="204">
        <v>33289</v>
      </c>
      <c r="B1274" s="544">
        <v>11.25</v>
      </c>
      <c r="C1274">
        <v>11.25</v>
      </c>
      <c r="D1274">
        <v>11.75</v>
      </c>
      <c r="E1274">
        <v>11.75</v>
      </c>
      <c r="F1274">
        <v>9</v>
      </c>
      <c r="G1274">
        <v>9.25</v>
      </c>
      <c r="H1274">
        <v>9.25</v>
      </c>
      <c r="I1274">
        <v>8.5</v>
      </c>
      <c r="J1274">
        <v>9.0399999999999991</v>
      </c>
      <c r="K1274">
        <v>6</v>
      </c>
    </row>
    <row r="1275" spans="1:11" x14ac:dyDescent="0.35">
      <c r="A1275" s="204">
        <v>33296</v>
      </c>
      <c r="B1275" s="544">
        <v>11.25</v>
      </c>
      <c r="C1275">
        <v>11</v>
      </c>
      <c r="D1275">
        <v>11.5</v>
      </c>
      <c r="E1275">
        <v>11.5</v>
      </c>
      <c r="F1275">
        <v>8.75</v>
      </c>
      <c r="G1275">
        <v>9</v>
      </c>
      <c r="H1275">
        <v>9</v>
      </c>
      <c r="I1275">
        <v>8.5</v>
      </c>
      <c r="J1275">
        <v>8.8000000000000007</v>
      </c>
      <c r="K1275">
        <v>6</v>
      </c>
    </row>
    <row r="1276" spans="1:11" x14ac:dyDescent="0.35">
      <c r="A1276" s="204">
        <v>33303</v>
      </c>
      <c r="B1276" s="544">
        <v>11.25</v>
      </c>
      <c r="C1276">
        <v>11</v>
      </c>
      <c r="D1276">
        <v>11.5</v>
      </c>
      <c r="E1276">
        <v>11.5</v>
      </c>
      <c r="F1276">
        <v>8.75</v>
      </c>
      <c r="G1276">
        <v>9</v>
      </c>
      <c r="H1276">
        <v>9</v>
      </c>
      <c r="I1276">
        <v>8.5</v>
      </c>
      <c r="J1276">
        <v>8.75</v>
      </c>
      <c r="K1276">
        <v>6</v>
      </c>
    </row>
    <row r="1277" spans="1:11" x14ac:dyDescent="0.35">
      <c r="A1277" s="204">
        <v>33310</v>
      </c>
      <c r="B1277" s="544">
        <v>11.25</v>
      </c>
      <c r="C1277">
        <v>11</v>
      </c>
      <c r="D1277">
        <v>11.5</v>
      </c>
      <c r="E1277">
        <v>11.5</v>
      </c>
      <c r="F1277">
        <v>8.75</v>
      </c>
      <c r="G1277">
        <v>9</v>
      </c>
      <c r="H1277">
        <v>9</v>
      </c>
      <c r="I1277">
        <v>8.5</v>
      </c>
      <c r="J1277">
        <v>8.76</v>
      </c>
      <c r="K1277">
        <v>6</v>
      </c>
    </row>
    <row r="1278" spans="1:11" x14ac:dyDescent="0.35">
      <c r="A1278" s="204">
        <v>33317</v>
      </c>
      <c r="B1278" s="544">
        <v>11.25</v>
      </c>
      <c r="C1278">
        <v>11</v>
      </c>
      <c r="D1278">
        <v>11.5</v>
      </c>
      <c r="E1278">
        <v>11.5</v>
      </c>
      <c r="F1278">
        <v>8.75</v>
      </c>
      <c r="G1278">
        <v>9</v>
      </c>
      <c r="H1278">
        <v>9</v>
      </c>
      <c r="I1278">
        <v>8.5</v>
      </c>
      <c r="J1278">
        <v>8.6999999999999993</v>
      </c>
      <c r="K1278">
        <v>6</v>
      </c>
    </row>
    <row r="1279" spans="1:11" x14ac:dyDescent="0.35">
      <c r="A1279" s="204">
        <v>33324</v>
      </c>
      <c r="B1279" s="544">
        <v>11.25</v>
      </c>
      <c r="C1279">
        <v>11</v>
      </c>
      <c r="D1279">
        <v>11.5</v>
      </c>
      <c r="E1279">
        <v>11.5</v>
      </c>
      <c r="F1279">
        <v>8.75</v>
      </c>
      <c r="G1279">
        <v>9</v>
      </c>
      <c r="H1279">
        <v>9</v>
      </c>
      <c r="I1279">
        <v>8.5</v>
      </c>
      <c r="J1279">
        <v>8.69</v>
      </c>
      <c r="K1279">
        <v>5.5</v>
      </c>
    </row>
    <row r="1280" spans="1:11" x14ac:dyDescent="0.35">
      <c r="A1280" s="204">
        <v>33331</v>
      </c>
      <c r="B1280" s="544">
        <v>10.75</v>
      </c>
      <c r="C1280">
        <v>11</v>
      </c>
      <c r="D1280">
        <v>11.5</v>
      </c>
      <c r="E1280">
        <v>11.5</v>
      </c>
      <c r="F1280">
        <v>8.75</v>
      </c>
      <c r="G1280">
        <v>9</v>
      </c>
      <c r="H1280">
        <v>9</v>
      </c>
      <c r="I1280">
        <v>8.5</v>
      </c>
      <c r="J1280">
        <v>8.6999999999999993</v>
      </c>
      <c r="K1280">
        <v>5.5</v>
      </c>
    </row>
    <row r="1281" spans="1:11" x14ac:dyDescent="0.35">
      <c r="A1281" s="204">
        <v>33338</v>
      </c>
      <c r="B1281" s="544">
        <v>10.75</v>
      </c>
      <c r="C1281">
        <v>10.75</v>
      </c>
      <c r="D1281">
        <v>11.25</v>
      </c>
      <c r="E1281">
        <v>11.25</v>
      </c>
      <c r="F1281">
        <v>8.5</v>
      </c>
      <c r="G1281">
        <v>8.75</v>
      </c>
      <c r="H1281">
        <v>8.75</v>
      </c>
      <c r="I1281">
        <v>8</v>
      </c>
      <c r="J1281">
        <v>8.59</v>
      </c>
      <c r="K1281">
        <v>5.25</v>
      </c>
    </row>
    <row r="1282" spans="1:11" x14ac:dyDescent="0.35">
      <c r="A1282" s="204">
        <v>33345</v>
      </c>
      <c r="B1282" s="544">
        <v>10.75</v>
      </c>
      <c r="C1282">
        <v>10.75</v>
      </c>
      <c r="D1282">
        <v>11.25</v>
      </c>
      <c r="E1282">
        <v>11.25</v>
      </c>
      <c r="F1282">
        <v>8.5</v>
      </c>
      <c r="G1282">
        <v>8.75</v>
      </c>
      <c r="H1282">
        <v>8.75</v>
      </c>
      <c r="I1282">
        <v>8</v>
      </c>
      <c r="J1282">
        <v>8.49</v>
      </c>
      <c r="K1282">
        <v>5.25</v>
      </c>
    </row>
    <row r="1283" spans="1:11" x14ac:dyDescent="0.35">
      <c r="A1283" s="204">
        <v>33352</v>
      </c>
      <c r="B1283" s="544">
        <v>10.75</v>
      </c>
      <c r="C1283">
        <v>10.75</v>
      </c>
      <c r="D1283">
        <v>11.25</v>
      </c>
      <c r="E1283">
        <v>11.25</v>
      </c>
      <c r="F1283">
        <v>8.5</v>
      </c>
      <c r="G1283">
        <v>8.75</v>
      </c>
      <c r="H1283">
        <v>8.75</v>
      </c>
      <c r="I1283">
        <v>8</v>
      </c>
      <c r="J1283">
        <v>8.44</v>
      </c>
      <c r="K1283">
        <v>5</v>
      </c>
    </row>
    <row r="1284" spans="1:11" x14ac:dyDescent="0.35">
      <c r="A1284" s="204">
        <v>33359</v>
      </c>
      <c r="B1284" s="544">
        <v>10.25</v>
      </c>
      <c r="C1284">
        <v>10.75</v>
      </c>
      <c r="D1284">
        <v>11.25</v>
      </c>
      <c r="E1284">
        <v>11.25</v>
      </c>
      <c r="F1284">
        <v>8.5</v>
      </c>
      <c r="G1284">
        <v>8.75</v>
      </c>
      <c r="H1284">
        <v>8.75</v>
      </c>
      <c r="I1284">
        <v>8</v>
      </c>
      <c r="J1284">
        <v>8.27</v>
      </c>
      <c r="K1284">
        <v>4.75</v>
      </c>
    </row>
    <row r="1285" spans="1:11" x14ac:dyDescent="0.35">
      <c r="A1285" s="204">
        <v>33366</v>
      </c>
      <c r="B1285" s="544">
        <v>10.25</v>
      </c>
      <c r="C1285">
        <v>10.25</v>
      </c>
      <c r="D1285">
        <v>11.25</v>
      </c>
      <c r="E1285">
        <v>11.25</v>
      </c>
      <c r="F1285">
        <v>8</v>
      </c>
      <c r="G1285">
        <v>8.75</v>
      </c>
      <c r="H1285">
        <v>8.75</v>
      </c>
      <c r="I1285">
        <v>8</v>
      </c>
      <c r="J1285">
        <v>8.11</v>
      </c>
      <c r="K1285">
        <v>4.75</v>
      </c>
    </row>
    <row r="1286" spans="1:11" x14ac:dyDescent="0.35">
      <c r="A1286" s="204">
        <v>33373</v>
      </c>
      <c r="B1286" s="544">
        <v>10.25</v>
      </c>
      <c r="C1286">
        <v>10.25</v>
      </c>
      <c r="D1286">
        <v>11</v>
      </c>
      <c r="E1286">
        <v>11.25</v>
      </c>
      <c r="F1286">
        <v>8</v>
      </c>
      <c r="G1286">
        <v>8.5</v>
      </c>
      <c r="H1286">
        <v>8.75</v>
      </c>
      <c r="I1286">
        <v>8</v>
      </c>
      <c r="J1286">
        <v>8</v>
      </c>
      <c r="K1286">
        <v>4.75</v>
      </c>
    </row>
    <row r="1287" spans="1:11" x14ac:dyDescent="0.35">
      <c r="A1287" s="204">
        <v>33380</v>
      </c>
      <c r="B1287" s="544">
        <v>9.75</v>
      </c>
      <c r="C1287">
        <v>10.25</v>
      </c>
      <c r="D1287">
        <v>11</v>
      </c>
      <c r="E1287">
        <v>11.25</v>
      </c>
      <c r="F1287">
        <v>8</v>
      </c>
      <c r="G1287">
        <v>8.75</v>
      </c>
      <c r="H1287">
        <v>8.75</v>
      </c>
      <c r="I1287">
        <v>8</v>
      </c>
      <c r="J1287">
        <v>7.93</v>
      </c>
      <c r="K1287">
        <v>4.5</v>
      </c>
    </row>
    <row r="1288" spans="1:11" x14ac:dyDescent="0.35">
      <c r="A1288" s="204">
        <v>33387</v>
      </c>
      <c r="B1288" s="544">
        <v>9.75</v>
      </c>
      <c r="C1288">
        <v>10</v>
      </c>
      <c r="D1288">
        <v>11</v>
      </c>
      <c r="E1288">
        <v>11.25</v>
      </c>
      <c r="F1288">
        <v>8</v>
      </c>
      <c r="G1288">
        <v>8.75</v>
      </c>
      <c r="H1288">
        <v>9</v>
      </c>
      <c r="I1288">
        <v>8</v>
      </c>
      <c r="J1288">
        <v>7.85</v>
      </c>
      <c r="K1288">
        <v>4.25</v>
      </c>
    </row>
    <row r="1289" spans="1:11" x14ac:dyDescent="0.35">
      <c r="A1289" s="204">
        <v>33394</v>
      </c>
      <c r="B1289" s="544">
        <v>9.75</v>
      </c>
      <c r="C1289">
        <v>10</v>
      </c>
      <c r="D1289">
        <v>11</v>
      </c>
      <c r="E1289">
        <v>11.25</v>
      </c>
      <c r="F1289">
        <v>8</v>
      </c>
      <c r="G1289">
        <v>8.75</v>
      </c>
      <c r="H1289">
        <v>9</v>
      </c>
      <c r="I1289">
        <v>8</v>
      </c>
      <c r="J1289">
        <v>7.84</v>
      </c>
      <c r="K1289">
        <v>4.25</v>
      </c>
    </row>
    <row r="1290" spans="1:11" x14ac:dyDescent="0.35">
      <c r="A1290" s="204">
        <v>33401</v>
      </c>
      <c r="B1290" s="544">
        <v>9.75</v>
      </c>
      <c r="C1290">
        <v>10</v>
      </c>
      <c r="D1290">
        <v>11</v>
      </c>
      <c r="E1290">
        <v>11.25</v>
      </c>
      <c r="F1290">
        <v>8</v>
      </c>
      <c r="G1290">
        <v>8.75</v>
      </c>
      <c r="H1290">
        <v>9</v>
      </c>
      <c r="I1290">
        <v>8</v>
      </c>
      <c r="J1290">
        <v>7.74</v>
      </c>
      <c r="K1290">
        <v>4.25</v>
      </c>
    </row>
    <row r="1291" spans="1:11" x14ac:dyDescent="0.35">
      <c r="A1291" s="204">
        <v>33408</v>
      </c>
      <c r="B1291" s="544">
        <v>9.75</v>
      </c>
      <c r="C1291">
        <v>10</v>
      </c>
      <c r="D1291">
        <v>11</v>
      </c>
      <c r="E1291">
        <v>11.25</v>
      </c>
      <c r="F1291">
        <v>8</v>
      </c>
      <c r="G1291">
        <v>8.75</v>
      </c>
      <c r="H1291">
        <v>9</v>
      </c>
      <c r="I1291">
        <v>8</v>
      </c>
      <c r="J1291">
        <v>7.7</v>
      </c>
      <c r="K1291">
        <v>4.25</v>
      </c>
    </row>
    <row r="1292" spans="1:11" x14ac:dyDescent="0.35">
      <c r="A1292" s="204">
        <v>33415</v>
      </c>
      <c r="B1292" s="544">
        <v>9.75</v>
      </c>
      <c r="C1292">
        <v>10</v>
      </c>
      <c r="D1292">
        <v>11</v>
      </c>
      <c r="E1292">
        <v>11.25</v>
      </c>
      <c r="F1292">
        <v>8</v>
      </c>
      <c r="G1292">
        <v>8.75</v>
      </c>
      <c r="H1292">
        <v>9</v>
      </c>
      <c r="I1292">
        <v>8</v>
      </c>
      <c r="J1292">
        <v>7.69</v>
      </c>
      <c r="K1292">
        <v>4.25</v>
      </c>
    </row>
    <row r="1293" spans="1:11" x14ac:dyDescent="0.35">
      <c r="A1293" s="204">
        <v>33422</v>
      </c>
      <c r="B1293" s="544">
        <v>9.75</v>
      </c>
      <c r="C1293">
        <v>10</v>
      </c>
      <c r="D1293">
        <v>11</v>
      </c>
      <c r="E1293">
        <v>11.25</v>
      </c>
      <c r="F1293">
        <v>8</v>
      </c>
      <c r="G1293">
        <v>8.75</v>
      </c>
      <c r="H1293">
        <v>9</v>
      </c>
      <c r="I1293">
        <v>8</v>
      </c>
      <c r="J1293">
        <v>7.68</v>
      </c>
      <c r="K1293">
        <v>4.25</v>
      </c>
    </row>
    <row r="1294" spans="1:11" x14ac:dyDescent="0.35">
      <c r="A1294" s="204">
        <v>33429</v>
      </c>
      <c r="B1294" s="544">
        <v>9.75</v>
      </c>
      <c r="C1294">
        <v>10</v>
      </c>
      <c r="D1294">
        <v>11</v>
      </c>
      <c r="E1294">
        <v>11.25</v>
      </c>
      <c r="F1294">
        <v>8</v>
      </c>
      <c r="G1294">
        <v>8.75</v>
      </c>
      <c r="H1294">
        <v>9</v>
      </c>
      <c r="I1294">
        <v>8</v>
      </c>
      <c r="J1294">
        <v>7.67</v>
      </c>
      <c r="K1294">
        <v>4.25</v>
      </c>
    </row>
    <row r="1295" spans="1:11" x14ac:dyDescent="0.35">
      <c r="A1295" s="204">
        <v>33436</v>
      </c>
      <c r="B1295" s="544">
        <v>9.75</v>
      </c>
      <c r="C1295">
        <v>10</v>
      </c>
      <c r="D1295">
        <v>11</v>
      </c>
      <c r="E1295">
        <v>11.25</v>
      </c>
      <c r="F1295">
        <v>8</v>
      </c>
      <c r="G1295">
        <v>8.75</v>
      </c>
      <c r="H1295">
        <v>9</v>
      </c>
      <c r="I1295">
        <v>8</v>
      </c>
      <c r="J1295">
        <v>7.67</v>
      </c>
      <c r="K1295">
        <v>4.25</v>
      </c>
    </row>
    <row r="1296" spans="1:11" x14ac:dyDescent="0.35">
      <c r="A1296" s="204">
        <v>33443</v>
      </c>
      <c r="B1296" s="544">
        <v>9.75</v>
      </c>
      <c r="C1296">
        <v>10</v>
      </c>
      <c r="D1296">
        <v>11</v>
      </c>
      <c r="E1296">
        <v>11.25</v>
      </c>
      <c r="F1296">
        <v>8</v>
      </c>
      <c r="G1296">
        <v>8.75</v>
      </c>
      <c r="H1296">
        <v>9.25</v>
      </c>
      <c r="I1296">
        <v>8</v>
      </c>
      <c r="J1296">
        <v>7.73</v>
      </c>
      <c r="K1296">
        <v>4.25</v>
      </c>
    </row>
    <row r="1297" spans="1:11" x14ac:dyDescent="0.35">
      <c r="A1297" s="204">
        <v>33450</v>
      </c>
      <c r="B1297" s="544">
        <v>9.75</v>
      </c>
      <c r="C1297">
        <v>10</v>
      </c>
      <c r="D1297">
        <v>11</v>
      </c>
      <c r="E1297">
        <v>11.5</v>
      </c>
      <c r="F1297">
        <v>8</v>
      </c>
      <c r="G1297">
        <v>8.75</v>
      </c>
      <c r="H1297">
        <v>9.25</v>
      </c>
      <c r="I1297">
        <v>8.25</v>
      </c>
      <c r="J1297">
        <v>7.72</v>
      </c>
      <c r="K1297">
        <v>4.25</v>
      </c>
    </row>
    <row r="1298" spans="1:11" x14ac:dyDescent="0.35">
      <c r="A1298" s="204">
        <v>33457</v>
      </c>
      <c r="B1298" s="544">
        <v>9.75</v>
      </c>
      <c r="C1298">
        <v>10</v>
      </c>
      <c r="D1298">
        <v>11</v>
      </c>
      <c r="E1298">
        <v>11.5</v>
      </c>
      <c r="F1298">
        <v>8</v>
      </c>
      <c r="G1298">
        <v>8.75</v>
      </c>
      <c r="H1298">
        <v>9.25</v>
      </c>
      <c r="I1298">
        <v>8.25</v>
      </c>
      <c r="J1298">
        <v>7.69</v>
      </c>
      <c r="K1298">
        <v>4.25</v>
      </c>
    </row>
    <row r="1299" spans="1:11" x14ac:dyDescent="0.35">
      <c r="A1299" s="204">
        <v>33464</v>
      </c>
      <c r="B1299" s="544">
        <v>9.75</v>
      </c>
      <c r="C1299">
        <v>10</v>
      </c>
      <c r="D1299">
        <v>11</v>
      </c>
      <c r="E1299">
        <v>11.5</v>
      </c>
      <c r="F1299">
        <v>8</v>
      </c>
      <c r="G1299">
        <v>8.75</v>
      </c>
      <c r="H1299">
        <v>9.25</v>
      </c>
      <c r="I1299">
        <v>8</v>
      </c>
      <c r="J1299">
        <v>7.66</v>
      </c>
      <c r="K1299">
        <v>4</v>
      </c>
    </row>
    <row r="1300" spans="1:11" x14ac:dyDescent="0.35">
      <c r="A1300" s="204">
        <v>33471</v>
      </c>
      <c r="B1300" s="544">
        <v>9.75</v>
      </c>
      <c r="C1300">
        <v>10</v>
      </c>
      <c r="D1300">
        <v>11</v>
      </c>
      <c r="E1300">
        <v>11.5</v>
      </c>
      <c r="F1300">
        <v>8</v>
      </c>
      <c r="G1300">
        <v>8.75</v>
      </c>
      <c r="H1300">
        <v>9.25</v>
      </c>
      <c r="I1300">
        <v>8.25</v>
      </c>
      <c r="J1300">
        <v>7.62</v>
      </c>
      <c r="K1300">
        <v>4</v>
      </c>
    </row>
    <row r="1301" spans="1:11" x14ac:dyDescent="0.35">
      <c r="A1301" s="204">
        <v>33478</v>
      </c>
      <c r="B1301" s="544">
        <v>9.75</v>
      </c>
      <c r="C1301">
        <v>10</v>
      </c>
      <c r="D1301">
        <v>11</v>
      </c>
      <c r="E1301">
        <v>11.5</v>
      </c>
      <c r="F1301">
        <v>8</v>
      </c>
      <c r="G1301">
        <v>8.75</v>
      </c>
      <c r="H1301">
        <v>9.25</v>
      </c>
      <c r="I1301">
        <v>8.25</v>
      </c>
      <c r="J1301">
        <v>7.58</v>
      </c>
      <c r="K1301">
        <v>4</v>
      </c>
    </row>
    <row r="1302" spans="1:11" x14ac:dyDescent="0.35">
      <c r="A1302" s="204">
        <v>33485</v>
      </c>
      <c r="B1302" s="544">
        <v>9.75</v>
      </c>
      <c r="C1302">
        <v>10</v>
      </c>
      <c r="D1302">
        <v>11</v>
      </c>
      <c r="E1302">
        <v>11.5</v>
      </c>
      <c r="F1302">
        <v>8</v>
      </c>
      <c r="G1302">
        <v>8.75</v>
      </c>
      <c r="H1302">
        <v>9.25</v>
      </c>
      <c r="I1302">
        <v>8.25</v>
      </c>
      <c r="J1302">
        <v>7.56</v>
      </c>
      <c r="K1302">
        <v>4</v>
      </c>
    </row>
    <row r="1303" spans="1:11" x14ac:dyDescent="0.35">
      <c r="A1303" s="204">
        <v>33492</v>
      </c>
      <c r="B1303" s="544">
        <v>9.75</v>
      </c>
      <c r="C1303">
        <v>9.75</v>
      </c>
      <c r="D1303">
        <v>11</v>
      </c>
      <c r="E1303">
        <v>11.5</v>
      </c>
      <c r="F1303">
        <v>8</v>
      </c>
      <c r="G1303">
        <v>8.75</v>
      </c>
      <c r="H1303">
        <v>9.25</v>
      </c>
      <c r="I1303">
        <v>8.25</v>
      </c>
      <c r="J1303">
        <v>7.58</v>
      </c>
      <c r="K1303">
        <v>4</v>
      </c>
    </row>
    <row r="1304" spans="1:11" x14ac:dyDescent="0.35">
      <c r="A1304" s="204">
        <v>33499</v>
      </c>
      <c r="B1304" s="544">
        <v>9.5</v>
      </c>
      <c r="C1304">
        <v>9.75</v>
      </c>
      <c r="D1304">
        <v>10.75</v>
      </c>
      <c r="E1304">
        <v>11.25</v>
      </c>
      <c r="F1304">
        <v>8</v>
      </c>
      <c r="G1304">
        <v>8.75</v>
      </c>
      <c r="H1304">
        <v>9.5</v>
      </c>
      <c r="I1304">
        <v>8.25</v>
      </c>
      <c r="J1304">
        <v>7.5</v>
      </c>
      <c r="K1304">
        <v>4</v>
      </c>
    </row>
    <row r="1305" spans="1:11" x14ac:dyDescent="0.35">
      <c r="A1305" s="204">
        <v>33506</v>
      </c>
      <c r="B1305" s="544">
        <v>9.5</v>
      </c>
      <c r="C1305">
        <v>9.75</v>
      </c>
      <c r="D1305">
        <v>10.75</v>
      </c>
      <c r="E1305">
        <v>11.25</v>
      </c>
      <c r="F1305">
        <v>7.75</v>
      </c>
      <c r="G1305">
        <v>8.75</v>
      </c>
      <c r="H1305">
        <v>9.25</v>
      </c>
      <c r="I1305">
        <v>8.25</v>
      </c>
      <c r="J1305">
        <v>7.46</v>
      </c>
      <c r="K1305">
        <v>4</v>
      </c>
    </row>
    <row r="1306" spans="1:11" x14ac:dyDescent="0.35">
      <c r="A1306" s="204">
        <v>33513</v>
      </c>
      <c r="B1306" s="544">
        <v>9.5</v>
      </c>
      <c r="C1306">
        <v>9.75</v>
      </c>
      <c r="D1306">
        <v>10.75</v>
      </c>
      <c r="E1306">
        <v>11.25</v>
      </c>
      <c r="F1306">
        <v>7.75</v>
      </c>
      <c r="G1306">
        <v>8.75</v>
      </c>
      <c r="H1306">
        <v>9.25</v>
      </c>
      <c r="I1306">
        <v>8.25</v>
      </c>
      <c r="J1306">
        <v>7.37</v>
      </c>
      <c r="K1306">
        <v>4</v>
      </c>
    </row>
    <row r="1307" spans="1:11" x14ac:dyDescent="0.35">
      <c r="A1307" s="204">
        <v>33520</v>
      </c>
      <c r="B1307" s="544">
        <v>9.5</v>
      </c>
      <c r="C1307">
        <v>9.5</v>
      </c>
      <c r="D1307">
        <v>10.5</v>
      </c>
      <c r="E1307">
        <v>10.75</v>
      </c>
      <c r="F1307">
        <v>7.5</v>
      </c>
      <c r="G1307">
        <v>8.5</v>
      </c>
      <c r="H1307">
        <v>9</v>
      </c>
      <c r="I1307">
        <v>8</v>
      </c>
      <c r="J1307">
        <v>7.24</v>
      </c>
      <c r="K1307">
        <v>4</v>
      </c>
    </row>
    <row r="1308" spans="1:11" x14ac:dyDescent="0.35">
      <c r="A1308" s="204">
        <v>33527</v>
      </c>
      <c r="B1308" s="544">
        <v>9.5</v>
      </c>
      <c r="C1308">
        <v>9.5</v>
      </c>
      <c r="D1308">
        <v>10.5</v>
      </c>
      <c r="E1308">
        <v>10.75</v>
      </c>
      <c r="F1308">
        <v>7.5</v>
      </c>
      <c r="G1308">
        <v>8.5</v>
      </c>
      <c r="H1308">
        <v>9</v>
      </c>
      <c r="I1308">
        <v>8</v>
      </c>
      <c r="J1308">
        <v>7.11</v>
      </c>
      <c r="K1308">
        <v>4</v>
      </c>
    </row>
    <row r="1309" spans="1:11" x14ac:dyDescent="0.35">
      <c r="A1309" s="204">
        <v>33534</v>
      </c>
      <c r="B1309" s="544">
        <v>9</v>
      </c>
      <c r="C1309">
        <v>9.5</v>
      </c>
      <c r="D1309">
        <v>10.5</v>
      </c>
      <c r="E1309">
        <v>10.75</v>
      </c>
      <c r="F1309">
        <v>7.5</v>
      </c>
      <c r="G1309">
        <v>8.5</v>
      </c>
      <c r="H1309">
        <v>9</v>
      </c>
      <c r="I1309">
        <v>8</v>
      </c>
      <c r="J1309">
        <v>7.08</v>
      </c>
      <c r="K1309">
        <v>3.5</v>
      </c>
    </row>
    <row r="1310" spans="1:11" x14ac:dyDescent="0.35">
      <c r="A1310" s="204">
        <v>33541</v>
      </c>
      <c r="B1310" s="544">
        <v>8.75</v>
      </c>
      <c r="C1310">
        <v>9.5</v>
      </c>
      <c r="D1310">
        <v>10.5</v>
      </c>
      <c r="E1310">
        <v>10.75</v>
      </c>
      <c r="F1310">
        <v>7.5</v>
      </c>
      <c r="G1310">
        <v>8.5</v>
      </c>
      <c r="H1310">
        <v>9</v>
      </c>
      <c r="I1310">
        <v>8</v>
      </c>
      <c r="J1310">
        <v>6.95</v>
      </c>
      <c r="K1310">
        <v>3.5</v>
      </c>
    </row>
    <row r="1311" spans="1:11" x14ac:dyDescent="0.35">
      <c r="A1311" s="204">
        <v>33548</v>
      </c>
      <c r="B1311" s="544">
        <v>8.75</v>
      </c>
      <c r="C1311">
        <v>9</v>
      </c>
      <c r="D1311">
        <v>9.8800000000000008</v>
      </c>
      <c r="E1311">
        <v>10.25</v>
      </c>
      <c r="F1311">
        <v>7</v>
      </c>
      <c r="G1311">
        <v>8</v>
      </c>
      <c r="H1311">
        <v>9</v>
      </c>
      <c r="I1311">
        <v>8</v>
      </c>
      <c r="J1311">
        <v>6.82</v>
      </c>
      <c r="K1311">
        <v>3.5</v>
      </c>
    </row>
    <row r="1312" spans="1:11" x14ac:dyDescent="0.35">
      <c r="A1312" s="204">
        <v>33555</v>
      </c>
      <c r="B1312" s="544">
        <v>8.5</v>
      </c>
      <c r="C1312">
        <v>8.75</v>
      </c>
      <c r="D1312">
        <v>9.8800000000000008</v>
      </c>
      <c r="E1312">
        <v>9.9</v>
      </c>
      <c r="F1312">
        <v>7</v>
      </c>
      <c r="G1312">
        <v>8</v>
      </c>
      <c r="H1312">
        <v>8.25</v>
      </c>
      <c r="I1312">
        <v>7.5</v>
      </c>
      <c r="J1312">
        <v>6.51</v>
      </c>
      <c r="K1312">
        <v>3.25</v>
      </c>
    </row>
    <row r="1313" spans="1:11" x14ac:dyDescent="0.35">
      <c r="A1313" s="204">
        <v>33562</v>
      </c>
      <c r="B1313" s="544">
        <v>8.5</v>
      </c>
      <c r="C1313">
        <v>8.75</v>
      </c>
      <c r="D1313">
        <v>9.75</v>
      </c>
      <c r="E1313">
        <v>9.9</v>
      </c>
      <c r="F1313">
        <v>6.75</v>
      </c>
      <c r="G1313">
        <v>7.75</v>
      </c>
      <c r="H1313">
        <v>8</v>
      </c>
      <c r="I1313">
        <v>7.25</v>
      </c>
      <c r="J1313">
        <v>6.56</v>
      </c>
      <c r="K1313">
        <v>3.25</v>
      </c>
    </row>
    <row r="1314" spans="1:11" x14ac:dyDescent="0.35">
      <c r="A1314" s="204">
        <v>33569</v>
      </c>
      <c r="B1314" s="544">
        <v>8.5</v>
      </c>
      <c r="C1314">
        <v>8.75</v>
      </c>
      <c r="D1314">
        <v>9.75</v>
      </c>
      <c r="E1314">
        <v>9.9</v>
      </c>
      <c r="F1314">
        <v>6.75</v>
      </c>
      <c r="G1314">
        <v>7.75</v>
      </c>
      <c r="H1314">
        <v>8</v>
      </c>
      <c r="I1314">
        <v>7.25</v>
      </c>
      <c r="J1314">
        <v>6.47</v>
      </c>
      <c r="K1314">
        <v>3.25</v>
      </c>
    </row>
    <row r="1315" spans="1:11" x14ac:dyDescent="0.35">
      <c r="A1315" s="204">
        <v>33576</v>
      </c>
      <c r="B1315" s="544">
        <v>8.5</v>
      </c>
      <c r="C1315">
        <v>8.75</v>
      </c>
      <c r="D1315">
        <v>9.75</v>
      </c>
      <c r="E1315">
        <v>9.9</v>
      </c>
      <c r="F1315">
        <v>6.75</v>
      </c>
      <c r="G1315">
        <v>7.75</v>
      </c>
      <c r="H1315">
        <v>8</v>
      </c>
      <c r="I1315">
        <v>7.25</v>
      </c>
      <c r="J1315">
        <v>6.44</v>
      </c>
      <c r="K1315">
        <v>3.25</v>
      </c>
    </row>
    <row r="1316" spans="1:11" x14ac:dyDescent="0.35">
      <c r="A1316" s="204">
        <v>33583</v>
      </c>
      <c r="B1316" s="544">
        <v>8</v>
      </c>
      <c r="C1316">
        <v>8.5</v>
      </c>
      <c r="D1316">
        <v>9.5</v>
      </c>
      <c r="E1316">
        <v>9.9</v>
      </c>
      <c r="F1316">
        <v>6.5</v>
      </c>
      <c r="G1316">
        <v>7.5</v>
      </c>
      <c r="H1316">
        <v>8</v>
      </c>
      <c r="I1316">
        <v>7.25</v>
      </c>
      <c r="J1316">
        <v>6.32</v>
      </c>
      <c r="K1316">
        <v>3.25</v>
      </c>
    </row>
    <row r="1317" spans="1:11" x14ac:dyDescent="0.35">
      <c r="A1317" s="204">
        <v>33590</v>
      </c>
      <c r="B1317" s="544">
        <v>8</v>
      </c>
      <c r="C1317">
        <v>8.5</v>
      </c>
      <c r="D1317">
        <v>9.5</v>
      </c>
      <c r="E1317">
        <v>9.9</v>
      </c>
      <c r="F1317">
        <v>6.5</v>
      </c>
      <c r="G1317">
        <v>7.5</v>
      </c>
      <c r="H1317">
        <v>8</v>
      </c>
      <c r="I1317">
        <v>7.25</v>
      </c>
      <c r="J1317">
        <v>6.3</v>
      </c>
      <c r="K1317">
        <v>3.25</v>
      </c>
    </row>
    <row r="1318" spans="1:11" x14ac:dyDescent="0.35">
      <c r="A1318" s="204">
        <v>33597</v>
      </c>
      <c r="B1318" s="544">
        <v>8</v>
      </c>
      <c r="C1318">
        <v>8.5</v>
      </c>
      <c r="D1318">
        <v>9.5</v>
      </c>
      <c r="E1318">
        <v>9.9</v>
      </c>
      <c r="F1318">
        <v>6.5</v>
      </c>
      <c r="G1318">
        <v>7.5</v>
      </c>
      <c r="H1318">
        <v>8</v>
      </c>
      <c r="I1318">
        <v>7.25</v>
      </c>
      <c r="J1318">
        <v>6.35</v>
      </c>
      <c r="K1318">
        <v>3</v>
      </c>
    </row>
    <row r="1319" spans="1:11" x14ac:dyDescent="0.35">
      <c r="A1319" s="204">
        <v>33604</v>
      </c>
      <c r="B1319" s="544">
        <v>8</v>
      </c>
      <c r="C1319">
        <v>8.5</v>
      </c>
      <c r="D1319">
        <v>9.5</v>
      </c>
      <c r="E1319">
        <v>9.9</v>
      </c>
      <c r="F1319">
        <v>6.5</v>
      </c>
      <c r="G1319">
        <v>7.5</v>
      </c>
      <c r="H1319">
        <v>8</v>
      </c>
      <c r="I1319">
        <v>7.25</v>
      </c>
      <c r="J1319">
        <v>6.45</v>
      </c>
      <c r="K1319">
        <v>3</v>
      </c>
    </row>
    <row r="1320" spans="1:11" x14ac:dyDescent="0.35">
      <c r="A1320" s="204">
        <v>33611</v>
      </c>
      <c r="B1320" s="544">
        <v>8</v>
      </c>
      <c r="C1320">
        <v>8.5</v>
      </c>
      <c r="D1320">
        <v>9.5</v>
      </c>
      <c r="E1320">
        <v>9.9</v>
      </c>
      <c r="F1320">
        <v>6.5</v>
      </c>
      <c r="G1320">
        <v>7.5</v>
      </c>
      <c r="H1320">
        <v>8</v>
      </c>
      <c r="I1320">
        <v>7.25</v>
      </c>
      <c r="J1320">
        <v>6.24</v>
      </c>
      <c r="K1320">
        <v>3</v>
      </c>
    </row>
    <row r="1321" spans="1:11" x14ac:dyDescent="0.35">
      <c r="A1321" s="204">
        <v>33618</v>
      </c>
      <c r="B1321" s="544">
        <v>8</v>
      </c>
      <c r="C1321">
        <v>8.25</v>
      </c>
      <c r="D1321">
        <v>9.25</v>
      </c>
      <c r="E1321">
        <v>9.75</v>
      </c>
      <c r="F1321">
        <v>6.25</v>
      </c>
      <c r="G1321">
        <v>7.25</v>
      </c>
      <c r="H1321">
        <v>7.75</v>
      </c>
      <c r="I1321">
        <v>7</v>
      </c>
      <c r="J1321">
        <v>6.11</v>
      </c>
      <c r="K1321">
        <v>3</v>
      </c>
    </row>
    <row r="1322" spans="1:11" x14ac:dyDescent="0.35">
      <c r="A1322" s="204">
        <v>33625</v>
      </c>
      <c r="B1322" s="544">
        <v>8</v>
      </c>
      <c r="C1322">
        <v>8.25</v>
      </c>
      <c r="D1322">
        <v>9.25</v>
      </c>
      <c r="E1322">
        <v>9.75</v>
      </c>
      <c r="F1322">
        <v>6.25</v>
      </c>
      <c r="G1322">
        <v>7.25</v>
      </c>
      <c r="H1322">
        <v>7.75</v>
      </c>
      <c r="I1322">
        <v>7</v>
      </c>
      <c r="J1322">
        <v>5.98</v>
      </c>
      <c r="K1322">
        <v>3</v>
      </c>
    </row>
    <row r="1323" spans="1:11" x14ac:dyDescent="0.35">
      <c r="A1323" s="204">
        <v>33632</v>
      </c>
      <c r="B1323" s="544">
        <v>7.5</v>
      </c>
      <c r="C1323">
        <v>8.25</v>
      </c>
      <c r="D1323">
        <v>9.25</v>
      </c>
      <c r="E1323">
        <v>9.75</v>
      </c>
      <c r="F1323">
        <v>6.25</v>
      </c>
      <c r="G1323">
        <v>7.25</v>
      </c>
      <c r="H1323">
        <v>7.75</v>
      </c>
      <c r="I1323">
        <v>7</v>
      </c>
      <c r="J1323">
        <v>5.86</v>
      </c>
      <c r="K1323">
        <v>2.5</v>
      </c>
    </row>
    <row r="1324" spans="1:11" x14ac:dyDescent="0.35">
      <c r="A1324" s="204">
        <v>33639</v>
      </c>
      <c r="B1324" s="544">
        <v>7.5</v>
      </c>
      <c r="C1324">
        <v>8.25</v>
      </c>
      <c r="D1324">
        <v>9.25</v>
      </c>
      <c r="E1324">
        <v>9.75</v>
      </c>
      <c r="F1324">
        <v>6.25</v>
      </c>
      <c r="G1324">
        <v>7.25</v>
      </c>
      <c r="H1324">
        <v>7.75</v>
      </c>
      <c r="I1324">
        <v>7</v>
      </c>
      <c r="J1324">
        <v>6.07</v>
      </c>
      <c r="K1324">
        <v>2.5</v>
      </c>
    </row>
    <row r="1325" spans="1:11" x14ac:dyDescent="0.35">
      <c r="A1325" s="204">
        <v>33646</v>
      </c>
      <c r="B1325" s="544">
        <v>7.5</v>
      </c>
      <c r="C1325">
        <v>8.25</v>
      </c>
      <c r="D1325">
        <v>9.25</v>
      </c>
      <c r="E1325">
        <v>9.75</v>
      </c>
      <c r="F1325">
        <v>6.25</v>
      </c>
      <c r="G1325">
        <v>7.25</v>
      </c>
      <c r="H1325">
        <v>7.75</v>
      </c>
      <c r="I1325">
        <v>7</v>
      </c>
      <c r="J1325">
        <v>6.11</v>
      </c>
      <c r="K1325">
        <v>2.5</v>
      </c>
    </row>
    <row r="1326" spans="1:11" x14ac:dyDescent="0.35">
      <c r="A1326" s="204">
        <v>33653</v>
      </c>
      <c r="B1326" s="544">
        <v>7.5</v>
      </c>
      <c r="C1326">
        <v>8.25</v>
      </c>
      <c r="D1326">
        <v>9.25</v>
      </c>
      <c r="E1326">
        <v>9.75</v>
      </c>
      <c r="F1326">
        <v>6.25</v>
      </c>
      <c r="G1326">
        <v>7.25</v>
      </c>
      <c r="H1326">
        <v>7.75</v>
      </c>
      <c r="I1326">
        <v>7</v>
      </c>
      <c r="J1326">
        <v>6.24</v>
      </c>
      <c r="K1326">
        <v>2.5</v>
      </c>
    </row>
    <row r="1327" spans="1:11" x14ac:dyDescent="0.35">
      <c r="A1327" s="204">
        <v>33660</v>
      </c>
      <c r="B1327" s="544">
        <v>7.5</v>
      </c>
      <c r="C1327">
        <v>8.25</v>
      </c>
      <c r="D1327">
        <v>9.25</v>
      </c>
      <c r="E1327">
        <v>9.75</v>
      </c>
      <c r="F1327">
        <v>6.25</v>
      </c>
      <c r="G1327">
        <v>7.25</v>
      </c>
      <c r="H1327">
        <v>7.75</v>
      </c>
      <c r="I1327">
        <v>7</v>
      </c>
      <c r="J1327">
        <v>6.34</v>
      </c>
      <c r="K1327">
        <v>2.5</v>
      </c>
    </row>
    <row r="1328" spans="1:11" x14ac:dyDescent="0.35">
      <c r="A1328" s="204">
        <v>33667</v>
      </c>
      <c r="B1328" s="544">
        <v>7.5</v>
      </c>
      <c r="C1328">
        <v>8.25</v>
      </c>
      <c r="D1328">
        <v>9.25</v>
      </c>
      <c r="E1328">
        <v>9.75</v>
      </c>
      <c r="F1328">
        <v>6.25</v>
      </c>
      <c r="G1328">
        <v>7.25</v>
      </c>
      <c r="H1328">
        <v>7.75</v>
      </c>
      <c r="I1328">
        <v>7</v>
      </c>
      <c r="J1328">
        <v>6.28</v>
      </c>
      <c r="K1328">
        <v>2.5</v>
      </c>
    </row>
    <row r="1329" spans="1:11" x14ac:dyDescent="0.35">
      <c r="A1329" s="204">
        <v>33674</v>
      </c>
      <c r="B1329" s="544">
        <v>8.25</v>
      </c>
      <c r="C1329">
        <v>8.9</v>
      </c>
      <c r="D1329">
        <v>9.75</v>
      </c>
      <c r="E1329">
        <v>9.9499999999999993</v>
      </c>
      <c r="F1329">
        <v>6.88</v>
      </c>
      <c r="G1329">
        <v>7.75</v>
      </c>
      <c r="H1329">
        <v>8</v>
      </c>
      <c r="I1329">
        <v>7.25</v>
      </c>
      <c r="J1329">
        <v>6.49</v>
      </c>
      <c r="K1329">
        <v>3.25</v>
      </c>
    </row>
    <row r="1330" spans="1:11" x14ac:dyDescent="0.35">
      <c r="A1330" s="204">
        <v>33681</v>
      </c>
      <c r="B1330" s="544">
        <v>8.25</v>
      </c>
      <c r="C1330">
        <v>9.5</v>
      </c>
      <c r="D1330">
        <v>10.25</v>
      </c>
      <c r="E1330">
        <v>10.5</v>
      </c>
      <c r="F1330">
        <v>7.25</v>
      </c>
      <c r="G1330">
        <v>8.25</v>
      </c>
      <c r="H1330">
        <v>8.5</v>
      </c>
      <c r="I1330">
        <v>7.75</v>
      </c>
      <c r="J1330">
        <v>6.6</v>
      </c>
      <c r="K1330">
        <v>3.25</v>
      </c>
    </row>
    <row r="1331" spans="1:11" x14ac:dyDescent="0.35">
      <c r="A1331" s="204">
        <v>33688</v>
      </c>
      <c r="B1331" s="544">
        <v>8.25</v>
      </c>
      <c r="C1331">
        <v>9.5</v>
      </c>
      <c r="D1331">
        <v>10.25</v>
      </c>
      <c r="E1331">
        <v>10.5</v>
      </c>
      <c r="F1331">
        <v>7.25</v>
      </c>
      <c r="G1331">
        <v>8.25</v>
      </c>
      <c r="H1331">
        <v>8.5</v>
      </c>
      <c r="I1331">
        <v>7.75</v>
      </c>
      <c r="J1331">
        <v>6.43</v>
      </c>
      <c r="K1331">
        <v>3.25</v>
      </c>
    </row>
    <row r="1332" spans="1:11" x14ac:dyDescent="0.35">
      <c r="A1332" s="204">
        <v>33695</v>
      </c>
      <c r="B1332" s="544">
        <v>8.25</v>
      </c>
      <c r="C1332">
        <v>9.25</v>
      </c>
      <c r="D1332">
        <v>10</v>
      </c>
      <c r="E1332">
        <v>10.5</v>
      </c>
      <c r="F1332">
        <v>7</v>
      </c>
      <c r="G1332">
        <v>8</v>
      </c>
      <c r="H1332">
        <v>8.5</v>
      </c>
      <c r="I1332">
        <v>7.75</v>
      </c>
      <c r="J1332">
        <v>6.27</v>
      </c>
      <c r="K1332">
        <v>3.25</v>
      </c>
    </row>
    <row r="1333" spans="1:11" x14ac:dyDescent="0.35">
      <c r="A1333" s="204">
        <v>33702</v>
      </c>
      <c r="B1333" s="544">
        <v>8.25</v>
      </c>
      <c r="C1333">
        <v>9.25</v>
      </c>
      <c r="D1333">
        <v>10</v>
      </c>
      <c r="E1333">
        <v>10.5</v>
      </c>
      <c r="F1333">
        <v>7</v>
      </c>
      <c r="G1333">
        <v>8</v>
      </c>
      <c r="H1333">
        <v>8.5</v>
      </c>
      <c r="I1333">
        <v>7.75</v>
      </c>
      <c r="J1333">
        <v>6.19</v>
      </c>
      <c r="K1333">
        <v>3.25</v>
      </c>
    </row>
    <row r="1334" spans="1:11" x14ac:dyDescent="0.35">
      <c r="A1334" s="204">
        <v>33709</v>
      </c>
      <c r="B1334" s="544">
        <v>7.75</v>
      </c>
      <c r="C1334">
        <v>9</v>
      </c>
      <c r="D1334">
        <v>10</v>
      </c>
      <c r="E1334">
        <v>10.5</v>
      </c>
      <c r="F1334">
        <v>6.75</v>
      </c>
      <c r="G1334">
        <v>8</v>
      </c>
      <c r="H1334">
        <v>8.5</v>
      </c>
      <c r="I1334">
        <v>7.75</v>
      </c>
      <c r="J1334">
        <v>6</v>
      </c>
      <c r="K1334">
        <v>3</v>
      </c>
    </row>
    <row r="1335" spans="1:11" x14ac:dyDescent="0.35">
      <c r="A1335" s="204">
        <v>33716</v>
      </c>
      <c r="B1335" s="544">
        <v>7.75</v>
      </c>
      <c r="C1335">
        <v>8.75</v>
      </c>
      <c r="D1335">
        <v>9.75</v>
      </c>
      <c r="E1335">
        <v>10.25</v>
      </c>
      <c r="F1335">
        <v>6.5</v>
      </c>
      <c r="G1335">
        <v>7.75</v>
      </c>
      <c r="H1335">
        <v>8.25</v>
      </c>
      <c r="I1335">
        <v>7.5</v>
      </c>
      <c r="J1335">
        <v>5.77</v>
      </c>
      <c r="K1335">
        <v>2.5</v>
      </c>
    </row>
    <row r="1336" spans="1:11" x14ac:dyDescent="0.35">
      <c r="A1336" s="204">
        <v>33723</v>
      </c>
      <c r="B1336" s="544">
        <v>7.75</v>
      </c>
      <c r="C1336">
        <v>8.75</v>
      </c>
      <c r="D1336">
        <v>9.75</v>
      </c>
      <c r="E1336">
        <v>10.25</v>
      </c>
      <c r="F1336">
        <v>6.5</v>
      </c>
      <c r="G1336">
        <v>7.75</v>
      </c>
      <c r="H1336">
        <v>8.25</v>
      </c>
      <c r="I1336">
        <v>7.5</v>
      </c>
      <c r="J1336">
        <v>5.63</v>
      </c>
      <c r="K1336">
        <v>2.5</v>
      </c>
    </row>
    <row r="1337" spans="1:11" x14ac:dyDescent="0.35">
      <c r="A1337" s="204">
        <v>33730</v>
      </c>
      <c r="B1337" s="544">
        <v>7.75</v>
      </c>
      <c r="C1337">
        <v>8.75</v>
      </c>
      <c r="D1337">
        <v>9.75</v>
      </c>
      <c r="E1337">
        <v>10.25</v>
      </c>
      <c r="F1337">
        <v>6.5</v>
      </c>
      <c r="G1337">
        <v>7.75</v>
      </c>
      <c r="H1337">
        <v>8.25</v>
      </c>
      <c r="I1337">
        <v>7.5</v>
      </c>
      <c r="J1337">
        <v>5.75</v>
      </c>
      <c r="K1337">
        <v>2.5</v>
      </c>
    </row>
    <row r="1338" spans="1:11" x14ac:dyDescent="0.35">
      <c r="A1338" s="204">
        <v>33737</v>
      </c>
      <c r="B1338" s="544">
        <v>7.75</v>
      </c>
      <c r="C1338">
        <v>8.5</v>
      </c>
      <c r="D1338">
        <v>9.75</v>
      </c>
      <c r="E1338">
        <v>10.25</v>
      </c>
      <c r="F1338">
        <v>6.5</v>
      </c>
      <c r="G1338">
        <v>7.75</v>
      </c>
      <c r="H1338">
        <v>8.25</v>
      </c>
      <c r="I1338">
        <v>7.5</v>
      </c>
      <c r="J1338">
        <v>5.56</v>
      </c>
      <c r="K1338">
        <v>2.5</v>
      </c>
    </row>
    <row r="1339" spans="1:11" x14ac:dyDescent="0.35">
      <c r="A1339" s="204">
        <v>33744</v>
      </c>
      <c r="B1339" s="544">
        <v>7.75</v>
      </c>
      <c r="C1339">
        <v>8.5</v>
      </c>
      <c r="D1339">
        <v>9.75</v>
      </c>
      <c r="E1339">
        <v>10.25</v>
      </c>
      <c r="F1339">
        <v>6.5</v>
      </c>
      <c r="G1339">
        <v>7.75</v>
      </c>
      <c r="H1339">
        <v>8.25</v>
      </c>
      <c r="I1339">
        <v>7.5</v>
      </c>
      <c r="J1339">
        <v>5.4</v>
      </c>
      <c r="K1339">
        <v>2.5</v>
      </c>
    </row>
    <row r="1340" spans="1:11" x14ac:dyDescent="0.35">
      <c r="A1340" s="204">
        <v>33751</v>
      </c>
      <c r="B1340" s="544">
        <v>7.5</v>
      </c>
      <c r="C1340">
        <v>8.25</v>
      </c>
      <c r="D1340">
        <v>9.5</v>
      </c>
      <c r="E1340">
        <v>9.9</v>
      </c>
      <c r="F1340">
        <v>6.25</v>
      </c>
      <c r="G1340">
        <v>7.5</v>
      </c>
      <c r="H1340">
        <v>8</v>
      </c>
      <c r="I1340">
        <v>7.25</v>
      </c>
      <c r="J1340">
        <v>5.28</v>
      </c>
      <c r="K1340">
        <v>2.5</v>
      </c>
    </row>
    <row r="1341" spans="1:11" x14ac:dyDescent="0.35">
      <c r="A1341" s="204">
        <v>33758</v>
      </c>
      <c r="B1341" s="544">
        <v>7.5</v>
      </c>
      <c r="C1341">
        <v>8.25</v>
      </c>
      <c r="D1341">
        <v>9.5</v>
      </c>
      <c r="E1341">
        <v>9.9</v>
      </c>
      <c r="F1341">
        <v>6.25</v>
      </c>
      <c r="G1341">
        <v>7.5</v>
      </c>
      <c r="H1341">
        <v>8</v>
      </c>
      <c r="I1341">
        <v>7.25</v>
      </c>
      <c r="J1341">
        <v>5.1100000000000003</v>
      </c>
      <c r="K1341">
        <v>2.5</v>
      </c>
    </row>
    <row r="1342" spans="1:11" x14ac:dyDescent="0.35">
      <c r="A1342" s="204">
        <v>33765</v>
      </c>
      <c r="B1342" s="544">
        <v>7.25</v>
      </c>
      <c r="C1342">
        <v>7.75</v>
      </c>
      <c r="D1342">
        <v>9.25</v>
      </c>
      <c r="E1342">
        <v>9.75</v>
      </c>
      <c r="F1342">
        <v>5.75</v>
      </c>
      <c r="G1342">
        <v>7.25</v>
      </c>
      <c r="H1342">
        <v>7.75</v>
      </c>
      <c r="I1342">
        <v>7</v>
      </c>
      <c r="J1342">
        <v>5.01</v>
      </c>
      <c r="K1342">
        <v>2.25</v>
      </c>
    </row>
    <row r="1343" spans="1:11" x14ac:dyDescent="0.35">
      <c r="A1343" s="204">
        <v>33772</v>
      </c>
      <c r="B1343" s="544">
        <v>7.25</v>
      </c>
      <c r="C1343">
        <v>7.5</v>
      </c>
      <c r="D1343">
        <v>9</v>
      </c>
      <c r="E1343">
        <v>9.6300000000000008</v>
      </c>
      <c r="F1343">
        <v>5.5</v>
      </c>
      <c r="G1343">
        <v>7</v>
      </c>
      <c r="H1343">
        <v>7.63</v>
      </c>
      <c r="I1343">
        <v>6.88</v>
      </c>
      <c r="J1343">
        <v>4.8600000000000003</v>
      </c>
      <c r="K1343">
        <v>2.25</v>
      </c>
    </row>
    <row r="1344" spans="1:11" x14ac:dyDescent="0.35">
      <c r="A1344" s="204">
        <v>33779</v>
      </c>
      <c r="B1344" s="544">
        <v>7</v>
      </c>
      <c r="C1344">
        <v>7.5</v>
      </c>
      <c r="D1344">
        <v>9</v>
      </c>
      <c r="E1344">
        <v>9.6300000000000008</v>
      </c>
      <c r="F1344">
        <v>5.5</v>
      </c>
      <c r="G1344">
        <v>7</v>
      </c>
      <c r="H1344">
        <v>7.63</v>
      </c>
      <c r="I1344">
        <v>6.88</v>
      </c>
      <c r="J1344">
        <v>4.6900000000000004</v>
      </c>
      <c r="K1344">
        <v>2</v>
      </c>
    </row>
    <row r="1345" spans="1:11" x14ac:dyDescent="0.35">
      <c r="A1345" s="204">
        <v>33786</v>
      </c>
      <c r="B1345" s="544">
        <v>7</v>
      </c>
      <c r="C1345">
        <v>7.5</v>
      </c>
      <c r="D1345">
        <v>9</v>
      </c>
      <c r="E1345">
        <v>9.6300000000000008</v>
      </c>
      <c r="F1345">
        <v>5.5</v>
      </c>
      <c r="G1345">
        <v>7</v>
      </c>
      <c r="H1345">
        <v>7.63</v>
      </c>
      <c r="I1345">
        <v>6.88</v>
      </c>
      <c r="J1345">
        <v>4.63</v>
      </c>
      <c r="K1345">
        <v>2</v>
      </c>
    </row>
    <row r="1346" spans="1:11" x14ac:dyDescent="0.35">
      <c r="A1346" s="204">
        <v>33793</v>
      </c>
      <c r="B1346" s="544">
        <v>7</v>
      </c>
      <c r="C1346">
        <v>6.95</v>
      </c>
      <c r="D1346">
        <v>8.75</v>
      </c>
      <c r="E1346">
        <v>9.25</v>
      </c>
      <c r="F1346">
        <v>5</v>
      </c>
      <c r="G1346">
        <v>6.5</v>
      </c>
      <c r="H1346">
        <v>7.5</v>
      </c>
      <c r="I1346">
        <v>6.75</v>
      </c>
      <c r="J1346">
        <v>4.51</v>
      </c>
      <c r="K1346">
        <v>2</v>
      </c>
    </row>
    <row r="1347" spans="1:11" x14ac:dyDescent="0.35">
      <c r="A1347" s="204">
        <v>33800</v>
      </c>
      <c r="B1347" s="544">
        <v>7</v>
      </c>
      <c r="C1347">
        <v>6.95</v>
      </c>
      <c r="D1347">
        <v>8.75</v>
      </c>
      <c r="E1347">
        <v>9.25</v>
      </c>
      <c r="F1347">
        <v>4.75</v>
      </c>
      <c r="G1347">
        <v>6</v>
      </c>
      <c r="H1347">
        <v>6.88</v>
      </c>
      <c r="I1347">
        <v>6.13</v>
      </c>
      <c r="J1347">
        <v>4.4400000000000004</v>
      </c>
      <c r="K1347">
        <v>2</v>
      </c>
    </row>
    <row r="1348" spans="1:11" x14ac:dyDescent="0.35">
      <c r="A1348" s="204">
        <v>33807</v>
      </c>
      <c r="B1348" s="544">
        <v>7</v>
      </c>
      <c r="C1348">
        <v>6.95</v>
      </c>
      <c r="D1348">
        <v>8.75</v>
      </c>
      <c r="E1348">
        <v>9.25</v>
      </c>
      <c r="F1348">
        <v>4.75</v>
      </c>
      <c r="G1348">
        <v>6</v>
      </c>
      <c r="H1348">
        <v>6.88</v>
      </c>
      <c r="I1348">
        <v>6.13</v>
      </c>
      <c r="J1348">
        <v>4.3899999999999997</v>
      </c>
      <c r="K1348">
        <v>2</v>
      </c>
    </row>
    <row r="1349" spans="1:11" x14ac:dyDescent="0.35">
      <c r="A1349" s="204">
        <v>33814</v>
      </c>
      <c r="B1349" s="544">
        <v>6.75</v>
      </c>
      <c r="C1349">
        <v>6.75</v>
      </c>
      <c r="D1349">
        <v>8.25</v>
      </c>
      <c r="E1349">
        <v>8.8800000000000008</v>
      </c>
      <c r="F1349">
        <v>4.5</v>
      </c>
      <c r="G1349">
        <v>5.75</v>
      </c>
      <c r="H1349">
        <v>6.63</v>
      </c>
      <c r="I1349">
        <v>5.88</v>
      </c>
      <c r="J1349">
        <v>4.28</v>
      </c>
      <c r="K1349">
        <v>1.75</v>
      </c>
    </row>
    <row r="1350" spans="1:11" x14ac:dyDescent="0.35">
      <c r="A1350" s="204">
        <v>33821</v>
      </c>
      <c r="B1350" s="544">
        <v>6.75</v>
      </c>
      <c r="C1350">
        <v>6.75</v>
      </c>
      <c r="D1350">
        <v>8.25</v>
      </c>
      <c r="E1350">
        <v>8.8800000000000008</v>
      </c>
      <c r="F1350">
        <v>4.5</v>
      </c>
      <c r="G1350">
        <v>5.75</v>
      </c>
      <c r="H1350">
        <v>6.63</v>
      </c>
      <c r="I1350">
        <v>5.88</v>
      </c>
      <c r="J1350">
        <v>4.2</v>
      </c>
      <c r="K1350">
        <v>1.75</v>
      </c>
    </row>
    <row r="1351" spans="1:11" x14ac:dyDescent="0.35">
      <c r="A1351" s="204">
        <v>33828</v>
      </c>
      <c r="B1351" s="544">
        <v>6.5</v>
      </c>
      <c r="C1351">
        <v>6.5</v>
      </c>
      <c r="D1351">
        <v>8</v>
      </c>
      <c r="E1351">
        <v>8.75</v>
      </c>
      <c r="F1351">
        <v>4.25</v>
      </c>
      <c r="G1351">
        <v>5.5</v>
      </c>
      <c r="H1351">
        <v>6.5</v>
      </c>
      <c r="I1351">
        <v>5.75</v>
      </c>
      <c r="J1351">
        <v>4.0999999999999996</v>
      </c>
      <c r="K1351">
        <v>1.5</v>
      </c>
    </row>
    <row r="1352" spans="1:11" x14ac:dyDescent="0.35">
      <c r="A1352" s="204">
        <v>33835</v>
      </c>
      <c r="B1352" s="544">
        <v>6.5</v>
      </c>
      <c r="C1352">
        <v>6.5</v>
      </c>
      <c r="D1352">
        <v>8</v>
      </c>
      <c r="E1352">
        <v>8.75</v>
      </c>
      <c r="F1352">
        <v>4.25</v>
      </c>
      <c r="G1352">
        <v>5.5</v>
      </c>
      <c r="H1352">
        <v>6.5</v>
      </c>
      <c r="I1352">
        <v>5.75</v>
      </c>
      <c r="J1352">
        <v>3.97</v>
      </c>
      <c r="K1352">
        <v>1.5</v>
      </c>
    </row>
    <row r="1353" spans="1:11" x14ac:dyDescent="0.35">
      <c r="A1353" s="204">
        <v>33842</v>
      </c>
      <c r="B1353" s="544">
        <v>6.5</v>
      </c>
      <c r="C1353">
        <v>6.5</v>
      </c>
      <c r="D1353">
        <v>8</v>
      </c>
      <c r="E1353">
        <v>8.75</v>
      </c>
      <c r="F1353">
        <v>4.25</v>
      </c>
      <c r="G1353">
        <v>5.5</v>
      </c>
      <c r="H1353">
        <v>6.5</v>
      </c>
      <c r="I1353">
        <v>5.75</v>
      </c>
      <c r="J1353">
        <v>3.89</v>
      </c>
      <c r="K1353">
        <v>1.5</v>
      </c>
    </row>
    <row r="1354" spans="1:11" x14ac:dyDescent="0.35">
      <c r="A1354" s="204">
        <v>33849</v>
      </c>
      <c r="B1354" s="544">
        <v>6.5</v>
      </c>
      <c r="C1354">
        <v>6.5</v>
      </c>
      <c r="D1354">
        <v>8</v>
      </c>
      <c r="E1354">
        <v>8.75</v>
      </c>
      <c r="F1354">
        <v>4.25</v>
      </c>
      <c r="G1354">
        <v>5.5</v>
      </c>
      <c r="H1354">
        <v>6.5</v>
      </c>
      <c r="I1354">
        <v>5.75</v>
      </c>
      <c r="J1354">
        <v>3.85</v>
      </c>
      <c r="K1354">
        <v>1.5</v>
      </c>
    </row>
    <row r="1355" spans="1:11" x14ac:dyDescent="0.35">
      <c r="A1355" s="204">
        <v>33856</v>
      </c>
      <c r="B1355" s="544">
        <v>6.25</v>
      </c>
      <c r="C1355">
        <v>6.25</v>
      </c>
      <c r="D1355">
        <v>7.75</v>
      </c>
      <c r="E1355">
        <v>8.5</v>
      </c>
      <c r="F1355">
        <v>4</v>
      </c>
      <c r="G1355">
        <v>5.25</v>
      </c>
      <c r="H1355">
        <v>6.25</v>
      </c>
      <c r="I1355">
        <v>5.5</v>
      </c>
      <c r="J1355">
        <v>3.71</v>
      </c>
      <c r="K1355">
        <v>1.25</v>
      </c>
    </row>
    <row r="1356" spans="1:11" x14ac:dyDescent="0.35">
      <c r="A1356" s="204">
        <v>33863</v>
      </c>
      <c r="B1356" s="544">
        <v>6.25</v>
      </c>
      <c r="C1356">
        <v>6.25</v>
      </c>
      <c r="D1356">
        <v>7.75</v>
      </c>
      <c r="E1356">
        <v>8.5</v>
      </c>
      <c r="F1356">
        <v>4</v>
      </c>
      <c r="G1356">
        <v>5.25</v>
      </c>
      <c r="H1356">
        <v>6.25</v>
      </c>
      <c r="I1356">
        <v>5.5</v>
      </c>
      <c r="J1356">
        <v>3.92</v>
      </c>
      <c r="K1356">
        <v>1.25</v>
      </c>
    </row>
    <row r="1357" spans="1:11" x14ac:dyDescent="0.35">
      <c r="A1357" s="204">
        <v>33870</v>
      </c>
      <c r="B1357" s="544">
        <v>6.25</v>
      </c>
      <c r="C1357">
        <v>6.25</v>
      </c>
      <c r="D1357">
        <v>7.75</v>
      </c>
      <c r="E1357">
        <v>8.5</v>
      </c>
      <c r="F1357">
        <v>4</v>
      </c>
      <c r="G1357">
        <v>5.25</v>
      </c>
      <c r="H1357">
        <v>6.25</v>
      </c>
      <c r="I1357">
        <v>5.5</v>
      </c>
      <c r="J1357">
        <v>4.12</v>
      </c>
      <c r="K1357">
        <v>1.25</v>
      </c>
    </row>
    <row r="1358" spans="1:11" x14ac:dyDescent="0.35">
      <c r="A1358" s="204">
        <v>33877</v>
      </c>
      <c r="B1358" s="544">
        <v>6.25</v>
      </c>
      <c r="C1358">
        <v>6.25</v>
      </c>
      <c r="D1358">
        <v>7.75</v>
      </c>
      <c r="E1358">
        <v>8.5</v>
      </c>
      <c r="F1358">
        <v>4</v>
      </c>
      <c r="G1358">
        <v>5.25</v>
      </c>
      <c r="H1358">
        <v>6.25</v>
      </c>
      <c r="I1358">
        <v>5.5</v>
      </c>
      <c r="J1358">
        <v>4.47</v>
      </c>
      <c r="K1358">
        <v>1.25</v>
      </c>
    </row>
    <row r="1359" spans="1:11" x14ac:dyDescent="0.35">
      <c r="A1359" s="204">
        <v>33884</v>
      </c>
      <c r="B1359" s="544">
        <v>8.25</v>
      </c>
      <c r="C1359">
        <v>7.75</v>
      </c>
      <c r="D1359">
        <v>8.75</v>
      </c>
      <c r="E1359">
        <v>9.25</v>
      </c>
      <c r="F1359">
        <v>5.25</v>
      </c>
      <c r="G1359">
        <v>6.25</v>
      </c>
      <c r="H1359">
        <v>7</v>
      </c>
      <c r="I1359">
        <v>6.25</v>
      </c>
      <c r="J1359">
        <v>6.4</v>
      </c>
      <c r="K1359">
        <v>2.75</v>
      </c>
    </row>
    <row r="1360" spans="1:11" x14ac:dyDescent="0.35">
      <c r="A1360" s="204">
        <v>33891</v>
      </c>
      <c r="B1360" s="544">
        <v>8.25</v>
      </c>
      <c r="C1360">
        <v>7.75</v>
      </c>
      <c r="D1360">
        <v>8.75</v>
      </c>
      <c r="E1360">
        <v>9.25</v>
      </c>
      <c r="F1360">
        <v>5.5</v>
      </c>
      <c r="G1360">
        <v>6.25</v>
      </c>
      <c r="H1360">
        <v>7</v>
      </c>
      <c r="I1360">
        <v>6.25</v>
      </c>
      <c r="J1360">
        <v>6.7</v>
      </c>
      <c r="K1360">
        <v>2.75</v>
      </c>
    </row>
    <row r="1361" spans="1:11" x14ac:dyDescent="0.35">
      <c r="A1361" s="204">
        <v>33898</v>
      </c>
      <c r="B1361" s="544">
        <v>8.25</v>
      </c>
      <c r="C1361">
        <v>7.75</v>
      </c>
      <c r="D1361">
        <v>8.75</v>
      </c>
      <c r="E1361">
        <v>9.25</v>
      </c>
      <c r="F1361">
        <v>6</v>
      </c>
      <c r="G1361">
        <v>6.25</v>
      </c>
      <c r="H1361">
        <v>7</v>
      </c>
      <c r="I1361">
        <v>6.25</v>
      </c>
      <c r="J1361">
        <v>6.58</v>
      </c>
      <c r="K1361">
        <v>2.75</v>
      </c>
    </row>
    <row r="1362" spans="1:11" x14ac:dyDescent="0.35">
      <c r="A1362" s="204">
        <v>33905</v>
      </c>
      <c r="B1362" s="544">
        <v>7.75</v>
      </c>
      <c r="C1362">
        <v>8</v>
      </c>
      <c r="D1362">
        <v>8.75</v>
      </c>
      <c r="E1362">
        <v>9.25</v>
      </c>
      <c r="F1362">
        <v>6</v>
      </c>
      <c r="G1362">
        <v>6.25</v>
      </c>
      <c r="H1362">
        <v>7</v>
      </c>
      <c r="I1362">
        <v>6.25</v>
      </c>
      <c r="J1362">
        <v>6.14</v>
      </c>
      <c r="K1362">
        <v>2.75</v>
      </c>
    </row>
    <row r="1363" spans="1:11" x14ac:dyDescent="0.35">
      <c r="A1363" s="204">
        <v>33912</v>
      </c>
      <c r="B1363" s="544">
        <v>7.5</v>
      </c>
      <c r="C1363">
        <v>8</v>
      </c>
      <c r="D1363">
        <v>8.75</v>
      </c>
      <c r="E1363">
        <v>9.25</v>
      </c>
      <c r="F1363">
        <v>5.5</v>
      </c>
      <c r="G1363">
        <v>6.25</v>
      </c>
      <c r="H1363">
        <v>7</v>
      </c>
      <c r="I1363">
        <v>6.25</v>
      </c>
      <c r="J1363">
        <v>5.07</v>
      </c>
      <c r="K1363">
        <v>2.25</v>
      </c>
    </row>
    <row r="1364" spans="1:11" x14ac:dyDescent="0.35">
      <c r="A1364" s="204">
        <v>33919</v>
      </c>
      <c r="B1364" s="544">
        <v>7.5</v>
      </c>
      <c r="C1364">
        <v>7.5</v>
      </c>
      <c r="D1364">
        <v>8.5</v>
      </c>
      <c r="E1364">
        <v>9</v>
      </c>
      <c r="F1364">
        <v>5</v>
      </c>
      <c r="G1364">
        <v>6</v>
      </c>
      <c r="H1364">
        <v>6.75</v>
      </c>
      <c r="I1364">
        <v>6</v>
      </c>
      <c r="J1364">
        <v>4.95</v>
      </c>
      <c r="K1364">
        <v>2</v>
      </c>
    </row>
    <row r="1365" spans="1:11" x14ac:dyDescent="0.35">
      <c r="A1365" s="204">
        <v>33926</v>
      </c>
      <c r="B1365" s="544">
        <v>8.25</v>
      </c>
      <c r="C1365">
        <v>7.5</v>
      </c>
      <c r="D1365">
        <v>8.5</v>
      </c>
      <c r="E1365">
        <v>9</v>
      </c>
      <c r="F1365">
        <v>5.75</v>
      </c>
      <c r="G1365">
        <v>6.5</v>
      </c>
      <c r="H1365">
        <v>7</v>
      </c>
      <c r="I1365">
        <v>6.25</v>
      </c>
      <c r="J1365">
        <v>5.74</v>
      </c>
      <c r="K1365">
        <v>2.75</v>
      </c>
    </row>
    <row r="1366" spans="1:11" x14ac:dyDescent="0.35">
      <c r="A1366" s="204">
        <v>33933</v>
      </c>
      <c r="B1366" s="544">
        <v>9.75</v>
      </c>
      <c r="C1366">
        <v>8.75</v>
      </c>
      <c r="D1366">
        <v>9</v>
      </c>
      <c r="E1366">
        <v>9.5</v>
      </c>
      <c r="F1366">
        <v>6</v>
      </c>
      <c r="G1366">
        <v>6.5</v>
      </c>
      <c r="H1366">
        <v>7</v>
      </c>
      <c r="I1366">
        <v>6.25</v>
      </c>
      <c r="J1366">
        <v>7.59</v>
      </c>
      <c r="K1366">
        <v>3.25</v>
      </c>
    </row>
    <row r="1367" spans="1:11" x14ac:dyDescent="0.35">
      <c r="A1367" s="204">
        <v>33940</v>
      </c>
      <c r="B1367" s="544">
        <v>9</v>
      </c>
      <c r="C1367">
        <v>8.75</v>
      </c>
      <c r="D1367">
        <v>9</v>
      </c>
      <c r="E1367">
        <v>9.5</v>
      </c>
      <c r="F1367">
        <v>6</v>
      </c>
      <c r="G1367">
        <v>6.5</v>
      </c>
      <c r="H1367">
        <v>7</v>
      </c>
      <c r="I1367">
        <v>6.25</v>
      </c>
      <c r="J1367">
        <v>7.04</v>
      </c>
      <c r="K1367">
        <v>3.25</v>
      </c>
    </row>
    <row r="1368" spans="1:11" x14ac:dyDescent="0.35">
      <c r="A1368" s="204">
        <v>33947</v>
      </c>
      <c r="B1368" s="544">
        <v>8.75</v>
      </c>
      <c r="C1368">
        <v>8.75</v>
      </c>
      <c r="D1368">
        <v>9</v>
      </c>
      <c r="E1368">
        <v>9.5</v>
      </c>
      <c r="F1368">
        <v>6</v>
      </c>
      <c r="G1368">
        <v>6.5</v>
      </c>
      <c r="H1368">
        <v>7</v>
      </c>
      <c r="I1368">
        <v>6.25</v>
      </c>
      <c r="J1368">
        <v>6.53</v>
      </c>
      <c r="K1368">
        <v>3</v>
      </c>
    </row>
    <row r="1369" spans="1:11" x14ac:dyDescent="0.35">
      <c r="A1369" s="204">
        <v>33954</v>
      </c>
      <c r="B1369" s="544">
        <v>8.5</v>
      </c>
      <c r="C1369">
        <v>8.25</v>
      </c>
      <c r="D1369">
        <v>9</v>
      </c>
      <c r="E1369">
        <v>9.5</v>
      </c>
      <c r="F1369">
        <v>6</v>
      </c>
      <c r="G1369">
        <v>6.5</v>
      </c>
      <c r="H1369">
        <v>7</v>
      </c>
      <c r="I1369">
        <v>6.25</v>
      </c>
      <c r="J1369">
        <v>6.47</v>
      </c>
      <c r="K1369">
        <v>2.75</v>
      </c>
    </row>
    <row r="1370" spans="1:11" x14ac:dyDescent="0.35">
      <c r="A1370" s="204">
        <v>33961</v>
      </c>
      <c r="B1370" s="544">
        <v>7.25</v>
      </c>
      <c r="C1370">
        <v>7.75</v>
      </c>
      <c r="D1370">
        <v>8.75</v>
      </c>
      <c r="E1370">
        <v>9.5</v>
      </c>
      <c r="F1370">
        <v>5.5</v>
      </c>
      <c r="G1370">
        <v>6.25</v>
      </c>
      <c r="H1370">
        <v>6.75</v>
      </c>
      <c r="I1370">
        <v>6</v>
      </c>
      <c r="J1370">
        <v>6.2</v>
      </c>
      <c r="K1370">
        <v>1.5</v>
      </c>
    </row>
    <row r="1371" spans="1:11" x14ac:dyDescent="0.35">
      <c r="A1371" s="204">
        <v>33968</v>
      </c>
      <c r="B1371" s="544">
        <v>7.25</v>
      </c>
      <c r="C1371">
        <v>7.7</v>
      </c>
      <c r="D1371">
        <v>8.6999999999999993</v>
      </c>
      <c r="E1371">
        <v>9.5</v>
      </c>
      <c r="F1371">
        <v>5.5</v>
      </c>
      <c r="G1371">
        <v>6</v>
      </c>
      <c r="H1371">
        <v>6.75</v>
      </c>
      <c r="I1371">
        <v>6</v>
      </c>
      <c r="J1371">
        <v>6.2</v>
      </c>
      <c r="K1371">
        <v>1.5</v>
      </c>
    </row>
    <row r="1372" spans="1:11" x14ac:dyDescent="0.35">
      <c r="A1372" s="204">
        <v>33975</v>
      </c>
      <c r="B1372" s="544">
        <v>7.25</v>
      </c>
      <c r="C1372">
        <v>7.7</v>
      </c>
      <c r="D1372">
        <v>8.6999999999999993</v>
      </c>
      <c r="E1372">
        <v>9.5</v>
      </c>
      <c r="F1372">
        <v>5.5</v>
      </c>
      <c r="G1372">
        <v>6</v>
      </c>
      <c r="H1372">
        <v>6.75</v>
      </c>
      <c r="I1372">
        <v>6</v>
      </c>
      <c r="J1372">
        <v>6.04</v>
      </c>
      <c r="K1372">
        <v>1.5</v>
      </c>
    </row>
    <row r="1373" spans="1:11" x14ac:dyDescent="0.35">
      <c r="A1373" s="204">
        <v>33982</v>
      </c>
      <c r="B1373" s="544">
        <v>7</v>
      </c>
      <c r="C1373">
        <v>7.7</v>
      </c>
      <c r="D1373">
        <v>8.6999999999999993</v>
      </c>
      <c r="E1373">
        <v>9.5</v>
      </c>
      <c r="F1373">
        <v>5.5</v>
      </c>
      <c r="G1373">
        <v>6</v>
      </c>
      <c r="H1373">
        <v>6.75</v>
      </c>
      <c r="I1373">
        <v>6</v>
      </c>
      <c r="J1373">
        <v>5.76</v>
      </c>
      <c r="K1373">
        <v>1.25</v>
      </c>
    </row>
    <row r="1374" spans="1:11" x14ac:dyDescent="0.35">
      <c r="A1374" s="204">
        <v>33989</v>
      </c>
      <c r="B1374" s="544">
        <v>6.75</v>
      </c>
      <c r="C1374">
        <v>7.7</v>
      </c>
      <c r="D1374">
        <v>8.6999999999999993</v>
      </c>
      <c r="E1374">
        <v>9.5</v>
      </c>
      <c r="F1374">
        <v>5.5</v>
      </c>
      <c r="G1374">
        <v>6</v>
      </c>
      <c r="H1374">
        <v>6.75</v>
      </c>
      <c r="I1374">
        <v>6</v>
      </c>
      <c r="J1374">
        <v>5.53</v>
      </c>
      <c r="K1374">
        <v>1.25</v>
      </c>
    </row>
    <row r="1375" spans="1:11" x14ac:dyDescent="0.35">
      <c r="A1375" s="204">
        <v>33996</v>
      </c>
      <c r="B1375" s="544">
        <v>6.75</v>
      </c>
      <c r="C1375">
        <v>7.7</v>
      </c>
      <c r="D1375">
        <v>8.6999999999999993</v>
      </c>
      <c r="E1375">
        <v>9.5</v>
      </c>
      <c r="F1375">
        <v>5.5</v>
      </c>
      <c r="G1375">
        <v>6</v>
      </c>
      <c r="H1375">
        <v>6.75</v>
      </c>
      <c r="I1375">
        <v>6</v>
      </c>
      <c r="J1375">
        <v>5.53</v>
      </c>
      <c r="K1375">
        <v>1.25</v>
      </c>
    </row>
    <row r="1376" spans="1:11" x14ac:dyDescent="0.35">
      <c r="A1376" s="204">
        <v>34003</v>
      </c>
      <c r="B1376" s="544">
        <v>6.75</v>
      </c>
      <c r="C1376">
        <v>7.7</v>
      </c>
      <c r="D1376">
        <v>8.6999999999999993</v>
      </c>
      <c r="E1376">
        <v>9.5</v>
      </c>
      <c r="F1376">
        <v>5.5</v>
      </c>
      <c r="G1376">
        <v>6</v>
      </c>
      <c r="H1376">
        <v>6.75</v>
      </c>
      <c r="I1376">
        <v>6</v>
      </c>
      <c r="J1376">
        <v>5.4</v>
      </c>
      <c r="K1376">
        <v>1</v>
      </c>
    </row>
    <row r="1377" spans="1:11" x14ac:dyDescent="0.35">
      <c r="A1377" s="204">
        <v>34010</v>
      </c>
      <c r="B1377" s="544">
        <v>6.75</v>
      </c>
      <c r="C1377">
        <v>7.7</v>
      </c>
      <c r="D1377">
        <v>8.6999999999999993</v>
      </c>
      <c r="E1377">
        <v>9.5</v>
      </c>
      <c r="F1377">
        <v>5.5</v>
      </c>
      <c r="G1377">
        <v>6</v>
      </c>
      <c r="H1377">
        <v>6.75</v>
      </c>
      <c r="I1377">
        <v>6</v>
      </c>
      <c r="J1377">
        <v>5.17</v>
      </c>
      <c r="K1377">
        <v>1</v>
      </c>
    </row>
    <row r="1378" spans="1:11" x14ac:dyDescent="0.35">
      <c r="A1378" s="204">
        <v>34017</v>
      </c>
      <c r="B1378" s="544">
        <v>6.75</v>
      </c>
      <c r="C1378">
        <v>7.7</v>
      </c>
      <c r="D1378">
        <v>8.6999999999999993</v>
      </c>
      <c r="E1378">
        <v>9.5</v>
      </c>
      <c r="F1378">
        <v>5.5</v>
      </c>
      <c r="G1378">
        <v>6</v>
      </c>
      <c r="H1378">
        <v>6.75</v>
      </c>
      <c r="I1378">
        <v>6</v>
      </c>
      <c r="J1378">
        <v>5.07</v>
      </c>
      <c r="K1378">
        <v>1</v>
      </c>
    </row>
    <row r="1379" spans="1:11" x14ac:dyDescent="0.35">
      <c r="A1379" s="204">
        <v>34024</v>
      </c>
      <c r="B1379" s="544">
        <v>6.5</v>
      </c>
      <c r="C1379">
        <v>7.7</v>
      </c>
      <c r="D1379">
        <v>8.6999999999999993</v>
      </c>
      <c r="E1379">
        <v>9.5</v>
      </c>
      <c r="F1379">
        <v>5.5</v>
      </c>
      <c r="G1379">
        <v>6</v>
      </c>
      <c r="H1379">
        <v>6.75</v>
      </c>
      <c r="I1379">
        <v>6</v>
      </c>
      <c r="J1379">
        <v>4.8600000000000003</v>
      </c>
      <c r="K1379">
        <v>1</v>
      </c>
    </row>
    <row r="1380" spans="1:11" x14ac:dyDescent="0.35">
      <c r="A1380" s="204">
        <v>34031</v>
      </c>
      <c r="B1380" s="544">
        <v>6.5</v>
      </c>
      <c r="C1380">
        <v>7.7</v>
      </c>
      <c r="D1380">
        <v>8.6999999999999993</v>
      </c>
      <c r="E1380">
        <v>8.9499999999999993</v>
      </c>
      <c r="F1380">
        <v>5.5</v>
      </c>
      <c r="G1380">
        <v>6</v>
      </c>
      <c r="H1380">
        <v>6.75</v>
      </c>
      <c r="I1380">
        <v>6</v>
      </c>
      <c r="J1380">
        <v>4.66</v>
      </c>
      <c r="K1380">
        <v>1</v>
      </c>
    </row>
    <row r="1381" spans="1:11" x14ac:dyDescent="0.35">
      <c r="A1381" s="204">
        <v>34038</v>
      </c>
      <c r="B1381" s="544">
        <v>6.25</v>
      </c>
      <c r="C1381">
        <v>7.25</v>
      </c>
      <c r="D1381">
        <v>8.25</v>
      </c>
      <c r="E1381">
        <v>8.9499999999999993</v>
      </c>
      <c r="F1381">
        <v>5.25</v>
      </c>
      <c r="G1381">
        <v>5.75</v>
      </c>
      <c r="H1381">
        <v>6.5</v>
      </c>
      <c r="I1381">
        <v>5.75</v>
      </c>
      <c r="J1381">
        <v>4.43</v>
      </c>
      <c r="K1381">
        <v>1</v>
      </c>
    </row>
    <row r="1382" spans="1:11" x14ac:dyDescent="0.35">
      <c r="A1382" s="204">
        <v>34045</v>
      </c>
      <c r="B1382" s="544">
        <v>6.25</v>
      </c>
      <c r="C1382">
        <v>7.25</v>
      </c>
      <c r="D1382">
        <v>8.25</v>
      </c>
      <c r="E1382">
        <v>8.9499999999999993</v>
      </c>
      <c r="F1382">
        <v>5.25</v>
      </c>
      <c r="G1382">
        <v>5.75</v>
      </c>
      <c r="H1382">
        <v>6.5</v>
      </c>
      <c r="I1382">
        <v>5.75</v>
      </c>
      <c r="J1382">
        <v>4.33</v>
      </c>
      <c r="K1382">
        <v>1</v>
      </c>
    </row>
    <row r="1383" spans="1:11" x14ac:dyDescent="0.35">
      <c r="A1383" s="204">
        <v>34052</v>
      </c>
      <c r="B1383" s="544">
        <v>6</v>
      </c>
      <c r="C1383">
        <v>7.25</v>
      </c>
      <c r="D1383">
        <v>8.25</v>
      </c>
      <c r="E1383">
        <v>8.9499999999999993</v>
      </c>
      <c r="F1383">
        <v>5.25</v>
      </c>
      <c r="G1383">
        <v>5.75</v>
      </c>
      <c r="H1383">
        <v>6.5</v>
      </c>
      <c r="I1383">
        <v>5.75</v>
      </c>
      <c r="J1383">
        <v>4.2300000000000004</v>
      </c>
      <c r="K1383">
        <v>1</v>
      </c>
    </row>
    <row r="1384" spans="1:11" x14ac:dyDescent="0.35">
      <c r="A1384" s="204">
        <v>34059</v>
      </c>
      <c r="B1384" s="544">
        <v>6</v>
      </c>
      <c r="C1384">
        <v>7.25</v>
      </c>
      <c r="D1384">
        <v>8.25</v>
      </c>
      <c r="E1384">
        <v>8.9499999999999993</v>
      </c>
      <c r="F1384">
        <v>5</v>
      </c>
      <c r="G1384">
        <v>5.75</v>
      </c>
      <c r="H1384">
        <v>6.75</v>
      </c>
      <c r="I1384">
        <v>5.75</v>
      </c>
      <c r="J1384">
        <v>4.13</v>
      </c>
      <c r="K1384">
        <v>1</v>
      </c>
    </row>
    <row r="1385" spans="1:11" x14ac:dyDescent="0.35">
      <c r="A1385" s="204">
        <v>34066</v>
      </c>
      <c r="B1385" s="544">
        <v>6</v>
      </c>
      <c r="C1385">
        <v>7.25</v>
      </c>
      <c r="D1385">
        <v>8.25</v>
      </c>
      <c r="E1385">
        <v>8.9499999999999993</v>
      </c>
      <c r="F1385">
        <v>5</v>
      </c>
      <c r="G1385">
        <v>5.75</v>
      </c>
      <c r="H1385">
        <v>6.75</v>
      </c>
      <c r="I1385">
        <v>5.75</v>
      </c>
      <c r="J1385">
        <v>4.3099999999999996</v>
      </c>
      <c r="K1385">
        <v>1</v>
      </c>
    </row>
    <row r="1386" spans="1:11" x14ac:dyDescent="0.35">
      <c r="A1386" s="204">
        <v>34073</v>
      </c>
      <c r="B1386" s="544">
        <v>6</v>
      </c>
      <c r="C1386">
        <v>7.25</v>
      </c>
      <c r="D1386">
        <v>8.25</v>
      </c>
      <c r="E1386">
        <v>8.9499999999999993</v>
      </c>
      <c r="F1386">
        <v>5</v>
      </c>
      <c r="G1386">
        <v>5.75</v>
      </c>
      <c r="H1386">
        <v>6.75</v>
      </c>
      <c r="I1386">
        <v>5.75</v>
      </c>
      <c r="J1386">
        <v>4.1399999999999997</v>
      </c>
      <c r="K1386">
        <v>1</v>
      </c>
    </row>
    <row r="1387" spans="1:11" x14ac:dyDescent="0.35">
      <c r="A1387" s="204">
        <v>34080</v>
      </c>
      <c r="B1387" s="544">
        <v>6</v>
      </c>
      <c r="C1387">
        <v>7.25</v>
      </c>
      <c r="D1387">
        <v>8.25</v>
      </c>
      <c r="E1387">
        <v>8.9499999999999993</v>
      </c>
      <c r="F1387">
        <v>5</v>
      </c>
      <c r="G1387">
        <v>5.75</v>
      </c>
      <c r="H1387">
        <v>6.5</v>
      </c>
      <c r="I1387">
        <v>5.75</v>
      </c>
      <c r="J1387">
        <v>4.04</v>
      </c>
      <c r="K1387">
        <v>1</v>
      </c>
    </row>
    <row r="1388" spans="1:11" x14ac:dyDescent="0.35">
      <c r="A1388" s="204">
        <v>34087</v>
      </c>
      <c r="B1388" s="544">
        <v>6</v>
      </c>
      <c r="C1388">
        <v>7.25</v>
      </c>
      <c r="D1388">
        <v>8.25</v>
      </c>
      <c r="E1388">
        <v>8.9499999999999993</v>
      </c>
      <c r="F1388">
        <v>5</v>
      </c>
      <c r="G1388">
        <v>5.75</v>
      </c>
      <c r="H1388">
        <v>6.5</v>
      </c>
      <c r="I1388">
        <v>5.75</v>
      </c>
      <c r="J1388">
        <v>4.37</v>
      </c>
      <c r="K1388">
        <v>1</v>
      </c>
    </row>
    <row r="1389" spans="1:11" x14ac:dyDescent="0.35">
      <c r="A1389" s="204">
        <v>34094</v>
      </c>
      <c r="B1389" s="544">
        <v>6</v>
      </c>
      <c r="C1389">
        <v>7.25</v>
      </c>
      <c r="D1389">
        <v>8.25</v>
      </c>
      <c r="E1389">
        <v>8.9499999999999993</v>
      </c>
      <c r="F1389">
        <v>5</v>
      </c>
      <c r="G1389">
        <v>5.75</v>
      </c>
      <c r="H1389">
        <v>6.75</v>
      </c>
      <c r="I1389">
        <v>5.75</v>
      </c>
      <c r="J1389">
        <v>4.16</v>
      </c>
      <c r="K1389">
        <v>1</v>
      </c>
    </row>
    <row r="1390" spans="1:11" x14ac:dyDescent="0.35">
      <c r="A1390" s="204">
        <v>34101</v>
      </c>
      <c r="B1390" s="544">
        <v>6</v>
      </c>
      <c r="C1390">
        <v>7.25</v>
      </c>
      <c r="D1390">
        <v>8.25</v>
      </c>
      <c r="E1390">
        <v>8.9499999999999993</v>
      </c>
      <c r="F1390">
        <v>5</v>
      </c>
      <c r="G1390">
        <v>5.75</v>
      </c>
      <c r="H1390">
        <v>6.75</v>
      </c>
      <c r="I1390">
        <v>5.75</v>
      </c>
      <c r="J1390">
        <v>4</v>
      </c>
      <c r="K1390">
        <v>1</v>
      </c>
    </row>
    <row r="1391" spans="1:11" x14ac:dyDescent="0.35">
      <c r="A1391" s="204">
        <v>34108</v>
      </c>
      <c r="B1391" s="544">
        <v>6</v>
      </c>
      <c r="C1391">
        <v>7.25</v>
      </c>
      <c r="D1391">
        <v>8.25</v>
      </c>
      <c r="E1391">
        <v>8.9499999999999993</v>
      </c>
      <c r="F1391">
        <v>5.25</v>
      </c>
      <c r="G1391">
        <v>6</v>
      </c>
      <c r="H1391">
        <v>7</v>
      </c>
      <c r="I1391">
        <v>5.75</v>
      </c>
      <c r="J1391">
        <v>4.17</v>
      </c>
      <c r="K1391">
        <v>1</v>
      </c>
    </row>
    <row r="1392" spans="1:11" x14ac:dyDescent="0.35">
      <c r="A1392" s="204">
        <v>34115</v>
      </c>
      <c r="B1392" s="544">
        <v>6</v>
      </c>
      <c r="C1392">
        <v>7.25</v>
      </c>
      <c r="D1392">
        <v>8.25</v>
      </c>
      <c r="E1392">
        <v>8.9499999999999993</v>
      </c>
      <c r="F1392">
        <v>5.25</v>
      </c>
      <c r="G1392">
        <v>6</v>
      </c>
      <c r="H1392">
        <v>7</v>
      </c>
      <c r="I1392">
        <v>5.75</v>
      </c>
      <c r="J1392">
        <v>3.87</v>
      </c>
      <c r="K1392">
        <v>1</v>
      </c>
    </row>
    <row r="1393" spans="1:11" x14ac:dyDescent="0.35">
      <c r="A1393" s="204">
        <v>34122</v>
      </c>
      <c r="B1393" s="544">
        <v>6</v>
      </c>
      <c r="C1393">
        <v>7.25</v>
      </c>
      <c r="D1393">
        <v>8.25</v>
      </c>
      <c r="E1393">
        <v>8.9499999999999993</v>
      </c>
      <c r="F1393">
        <v>5</v>
      </c>
      <c r="G1393">
        <v>6</v>
      </c>
      <c r="H1393">
        <v>6.75</v>
      </c>
      <c r="I1393">
        <v>5.75</v>
      </c>
      <c r="J1393">
        <v>3.83</v>
      </c>
      <c r="K1393">
        <v>1</v>
      </c>
    </row>
    <row r="1394" spans="1:11" x14ac:dyDescent="0.35">
      <c r="A1394" s="204">
        <v>34129</v>
      </c>
      <c r="B1394" s="544">
        <v>6</v>
      </c>
      <c r="C1394">
        <v>7.25</v>
      </c>
      <c r="D1394">
        <v>8.25</v>
      </c>
      <c r="E1394">
        <v>8.9499999999999993</v>
      </c>
      <c r="F1394">
        <v>5</v>
      </c>
      <c r="G1394">
        <v>6</v>
      </c>
      <c r="H1394">
        <v>6.75</v>
      </c>
      <c r="I1394">
        <v>5.75</v>
      </c>
      <c r="J1394">
        <v>3.94</v>
      </c>
      <c r="K1394">
        <v>1</v>
      </c>
    </row>
    <row r="1395" spans="1:11" x14ac:dyDescent="0.35">
      <c r="A1395" s="204">
        <v>34136</v>
      </c>
      <c r="B1395" s="544">
        <v>6</v>
      </c>
      <c r="C1395">
        <v>7.25</v>
      </c>
      <c r="D1395">
        <v>8.25</v>
      </c>
      <c r="E1395">
        <v>8.9499999999999993</v>
      </c>
      <c r="F1395">
        <v>5</v>
      </c>
      <c r="G1395">
        <v>6</v>
      </c>
      <c r="H1395">
        <v>6.75</v>
      </c>
      <c r="I1395">
        <v>5.75</v>
      </c>
      <c r="J1395">
        <v>3.71</v>
      </c>
      <c r="K1395">
        <v>1</v>
      </c>
    </row>
    <row r="1396" spans="1:11" x14ac:dyDescent="0.35">
      <c r="A1396" s="204">
        <v>34143</v>
      </c>
      <c r="B1396" s="544">
        <v>6</v>
      </c>
      <c r="C1396">
        <v>7.25</v>
      </c>
      <c r="D1396">
        <v>8.25</v>
      </c>
      <c r="E1396">
        <v>8.9499999999999993</v>
      </c>
      <c r="F1396">
        <v>4.75</v>
      </c>
      <c r="G1396">
        <v>5.75</v>
      </c>
      <c r="H1396">
        <v>6.5</v>
      </c>
      <c r="I1396">
        <v>5.5</v>
      </c>
      <c r="J1396">
        <v>3.65</v>
      </c>
      <c r="K1396">
        <v>1</v>
      </c>
    </row>
    <row r="1397" spans="1:11" x14ac:dyDescent="0.35">
      <c r="A1397" s="204">
        <v>34150</v>
      </c>
      <c r="B1397" s="544">
        <v>6</v>
      </c>
      <c r="C1397">
        <v>7.25</v>
      </c>
      <c r="D1397">
        <v>8.25</v>
      </c>
      <c r="E1397">
        <v>8.9499999999999993</v>
      </c>
      <c r="F1397">
        <v>4.75</v>
      </c>
      <c r="G1397">
        <v>5.75</v>
      </c>
      <c r="H1397">
        <v>6.5</v>
      </c>
      <c r="I1397">
        <v>5.5</v>
      </c>
      <c r="J1397">
        <v>3.56</v>
      </c>
      <c r="K1397">
        <v>1</v>
      </c>
    </row>
    <row r="1398" spans="1:11" x14ac:dyDescent="0.35">
      <c r="A1398" s="204">
        <v>34157</v>
      </c>
      <c r="B1398" s="544">
        <v>6</v>
      </c>
      <c r="C1398">
        <v>6.5</v>
      </c>
      <c r="D1398">
        <v>8.25</v>
      </c>
      <c r="E1398">
        <v>8.75</v>
      </c>
      <c r="F1398">
        <v>4.5</v>
      </c>
      <c r="G1398">
        <v>5.75</v>
      </c>
      <c r="H1398">
        <v>6.25</v>
      </c>
      <c r="I1398">
        <v>5.5</v>
      </c>
      <c r="J1398">
        <v>3.5</v>
      </c>
      <c r="K1398">
        <v>1</v>
      </c>
    </row>
    <row r="1399" spans="1:11" x14ac:dyDescent="0.35">
      <c r="A1399" s="204">
        <v>34164</v>
      </c>
      <c r="B1399" s="544">
        <v>5.75</v>
      </c>
      <c r="C1399">
        <v>6.5</v>
      </c>
      <c r="D1399">
        <v>8.25</v>
      </c>
      <c r="E1399">
        <v>8.75</v>
      </c>
      <c r="F1399">
        <v>4.25</v>
      </c>
      <c r="G1399">
        <v>5.75</v>
      </c>
      <c r="H1399">
        <v>6.25</v>
      </c>
      <c r="I1399">
        <v>5.5</v>
      </c>
      <c r="J1399">
        <v>3.35</v>
      </c>
      <c r="K1399">
        <v>0.75</v>
      </c>
    </row>
    <row r="1400" spans="1:11" x14ac:dyDescent="0.35">
      <c r="A1400" s="204">
        <v>34171</v>
      </c>
      <c r="B1400" s="544">
        <v>5.75</v>
      </c>
      <c r="C1400">
        <v>6.5</v>
      </c>
      <c r="D1400">
        <v>8.25</v>
      </c>
      <c r="E1400">
        <v>8.75</v>
      </c>
      <c r="F1400">
        <v>4</v>
      </c>
      <c r="G1400">
        <v>5.5</v>
      </c>
      <c r="H1400">
        <v>6</v>
      </c>
      <c r="I1400">
        <v>5.25</v>
      </c>
      <c r="J1400">
        <v>3.3</v>
      </c>
      <c r="K1400">
        <v>0.75</v>
      </c>
    </row>
    <row r="1401" spans="1:11" x14ac:dyDescent="0.35">
      <c r="A1401" s="204">
        <v>34178</v>
      </c>
      <c r="B1401" s="544">
        <v>5.75</v>
      </c>
      <c r="C1401">
        <v>6.5</v>
      </c>
      <c r="D1401">
        <v>8.25</v>
      </c>
      <c r="E1401">
        <v>8.75</v>
      </c>
      <c r="F1401">
        <v>4</v>
      </c>
      <c r="G1401">
        <v>5.5</v>
      </c>
      <c r="H1401">
        <v>6</v>
      </c>
      <c r="I1401">
        <v>5</v>
      </c>
      <c r="J1401">
        <v>3.18</v>
      </c>
      <c r="K1401">
        <v>0.5</v>
      </c>
    </row>
    <row r="1402" spans="1:11" x14ac:dyDescent="0.35">
      <c r="A1402" s="204">
        <v>34185</v>
      </c>
      <c r="B1402" s="544">
        <v>5.75</v>
      </c>
      <c r="C1402">
        <v>6.5</v>
      </c>
      <c r="D1402">
        <v>8.25</v>
      </c>
      <c r="E1402">
        <v>8.75</v>
      </c>
      <c r="F1402">
        <v>4</v>
      </c>
      <c r="G1402">
        <v>5.5</v>
      </c>
      <c r="H1402">
        <v>6</v>
      </c>
      <c r="I1402">
        <v>5</v>
      </c>
      <c r="J1402">
        <v>3.09</v>
      </c>
      <c r="K1402">
        <v>0.5</v>
      </c>
    </row>
    <row r="1403" spans="1:11" x14ac:dyDescent="0.35">
      <c r="A1403" s="204">
        <v>34192</v>
      </c>
      <c r="B1403" s="544">
        <v>5.75</v>
      </c>
      <c r="C1403">
        <v>6.5</v>
      </c>
      <c r="D1403">
        <v>8.25</v>
      </c>
      <c r="E1403">
        <v>8.75</v>
      </c>
      <c r="F1403">
        <v>4</v>
      </c>
      <c r="G1403">
        <v>5.5</v>
      </c>
      <c r="H1403">
        <v>6</v>
      </c>
      <c r="I1403">
        <v>5</v>
      </c>
      <c r="J1403">
        <v>2.97</v>
      </c>
      <c r="K1403">
        <v>0.5</v>
      </c>
    </row>
    <row r="1404" spans="1:11" x14ac:dyDescent="0.35">
      <c r="A1404" s="204">
        <v>34199</v>
      </c>
      <c r="B1404" s="544">
        <v>5.75</v>
      </c>
      <c r="C1404">
        <v>6.5</v>
      </c>
      <c r="D1404">
        <v>8.25</v>
      </c>
      <c r="E1404">
        <v>8.75</v>
      </c>
      <c r="F1404">
        <v>4</v>
      </c>
      <c r="G1404">
        <v>5.5</v>
      </c>
      <c r="H1404">
        <v>6</v>
      </c>
      <c r="I1404">
        <v>5</v>
      </c>
      <c r="J1404">
        <v>3.44</v>
      </c>
      <c r="K1404">
        <v>0.5</v>
      </c>
    </row>
    <row r="1405" spans="1:11" x14ac:dyDescent="0.35">
      <c r="A1405" s="204">
        <v>34206</v>
      </c>
      <c r="B1405" s="544">
        <v>5.75</v>
      </c>
      <c r="C1405">
        <v>6.5</v>
      </c>
      <c r="D1405">
        <v>8.25</v>
      </c>
      <c r="E1405">
        <v>8.75</v>
      </c>
      <c r="F1405">
        <v>4</v>
      </c>
      <c r="G1405">
        <v>5.5</v>
      </c>
      <c r="H1405">
        <v>6</v>
      </c>
      <c r="I1405">
        <v>5</v>
      </c>
      <c r="J1405">
        <v>3.67</v>
      </c>
      <c r="K1405">
        <v>0.5</v>
      </c>
    </row>
    <row r="1406" spans="1:11" x14ac:dyDescent="0.35">
      <c r="A1406" s="204">
        <v>34213</v>
      </c>
      <c r="B1406" s="544">
        <v>5.75</v>
      </c>
      <c r="C1406">
        <v>6.5</v>
      </c>
      <c r="D1406">
        <v>8.25</v>
      </c>
      <c r="E1406">
        <v>8.75</v>
      </c>
      <c r="F1406">
        <v>4</v>
      </c>
      <c r="G1406">
        <v>5.5</v>
      </c>
      <c r="H1406">
        <v>6</v>
      </c>
      <c r="I1406">
        <v>5</v>
      </c>
      <c r="J1406">
        <v>3.76</v>
      </c>
      <c r="K1406">
        <v>0.5</v>
      </c>
    </row>
    <row r="1407" spans="1:11" x14ac:dyDescent="0.35">
      <c r="A1407" s="204">
        <v>34220</v>
      </c>
      <c r="B1407" s="544">
        <v>5.75</v>
      </c>
      <c r="C1407">
        <v>6.5</v>
      </c>
      <c r="D1407">
        <v>8.25</v>
      </c>
      <c r="E1407">
        <v>8.75</v>
      </c>
      <c r="F1407">
        <v>4</v>
      </c>
      <c r="G1407">
        <v>5.5</v>
      </c>
      <c r="H1407">
        <v>6</v>
      </c>
      <c r="I1407">
        <v>5</v>
      </c>
      <c r="J1407">
        <v>3.81</v>
      </c>
      <c r="K1407">
        <v>0.5</v>
      </c>
    </row>
    <row r="1408" spans="1:11" x14ac:dyDescent="0.35">
      <c r="A1408" s="204">
        <v>34227</v>
      </c>
      <c r="B1408" s="544">
        <v>5.75</v>
      </c>
      <c r="C1408">
        <v>6.5</v>
      </c>
      <c r="D1408">
        <v>8.25</v>
      </c>
      <c r="E1408">
        <v>8.75</v>
      </c>
      <c r="F1408">
        <v>4</v>
      </c>
      <c r="G1408">
        <v>5.5</v>
      </c>
      <c r="H1408">
        <v>6</v>
      </c>
      <c r="I1408">
        <v>5</v>
      </c>
      <c r="J1408">
        <v>3.79</v>
      </c>
      <c r="K1408">
        <v>0.5</v>
      </c>
    </row>
    <row r="1409" spans="1:11" x14ac:dyDescent="0.35">
      <c r="A1409" s="204">
        <v>34234</v>
      </c>
      <c r="B1409" s="544">
        <v>5.75</v>
      </c>
      <c r="C1409">
        <v>6.5</v>
      </c>
      <c r="D1409">
        <v>8.25</v>
      </c>
      <c r="E1409">
        <v>8.75</v>
      </c>
      <c r="F1409">
        <v>4</v>
      </c>
      <c r="G1409">
        <v>5.5</v>
      </c>
      <c r="H1409">
        <v>6</v>
      </c>
      <c r="I1409">
        <v>5</v>
      </c>
      <c r="J1409">
        <v>3.71</v>
      </c>
      <c r="K1409">
        <v>0.5</v>
      </c>
    </row>
    <row r="1410" spans="1:11" x14ac:dyDescent="0.35">
      <c r="A1410" s="204">
        <v>34241</v>
      </c>
      <c r="B1410" s="544">
        <v>5.75</v>
      </c>
      <c r="C1410">
        <v>6.5</v>
      </c>
      <c r="D1410">
        <v>8.25</v>
      </c>
      <c r="E1410">
        <v>8.75</v>
      </c>
      <c r="F1410">
        <v>4</v>
      </c>
      <c r="G1410">
        <v>5.5</v>
      </c>
      <c r="H1410">
        <v>6</v>
      </c>
      <c r="I1410">
        <v>5</v>
      </c>
      <c r="J1410">
        <v>3.67</v>
      </c>
      <c r="K1410">
        <v>0.5</v>
      </c>
    </row>
    <row r="1411" spans="1:11" x14ac:dyDescent="0.35">
      <c r="A1411" s="204">
        <v>34248</v>
      </c>
      <c r="B1411" s="544">
        <v>5.75</v>
      </c>
      <c r="C1411">
        <v>6.5</v>
      </c>
      <c r="D1411">
        <v>8.25</v>
      </c>
      <c r="E1411">
        <v>8.75</v>
      </c>
      <c r="F1411">
        <v>4</v>
      </c>
      <c r="G1411">
        <v>5.5</v>
      </c>
      <c r="H1411">
        <v>6</v>
      </c>
      <c r="I1411">
        <v>5</v>
      </c>
      <c r="J1411">
        <v>3.72</v>
      </c>
      <c r="K1411">
        <v>0.5</v>
      </c>
    </row>
    <row r="1412" spans="1:11" x14ac:dyDescent="0.35">
      <c r="A1412" s="204">
        <v>34255</v>
      </c>
      <c r="B1412" s="544">
        <v>5.75</v>
      </c>
      <c r="C1412">
        <v>6.5</v>
      </c>
      <c r="D1412">
        <v>8.25</v>
      </c>
      <c r="E1412">
        <v>8.75</v>
      </c>
      <c r="F1412">
        <v>4</v>
      </c>
      <c r="G1412">
        <v>5.5</v>
      </c>
      <c r="H1412">
        <v>6</v>
      </c>
      <c r="I1412">
        <v>5</v>
      </c>
      <c r="J1412">
        <v>3.64</v>
      </c>
      <c r="K1412">
        <v>0.5</v>
      </c>
    </row>
    <row r="1413" spans="1:11" x14ac:dyDescent="0.35">
      <c r="A1413" s="204">
        <v>34262</v>
      </c>
      <c r="B1413" s="544">
        <v>5.75</v>
      </c>
      <c r="C1413">
        <v>6.5</v>
      </c>
      <c r="D1413">
        <v>8.25</v>
      </c>
      <c r="E1413">
        <v>8.75</v>
      </c>
      <c r="F1413">
        <v>4.5</v>
      </c>
      <c r="G1413">
        <v>5.25</v>
      </c>
      <c r="H1413">
        <v>5.88</v>
      </c>
      <c r="I1413">
        <v>5</v>
      </c>
      <c r="J1413">
        <v>3.54</v>
      </c>
      <c r="K1413">
        <v>0.5</v>
      </c>
    </row>
    <row r="1414" spans="1:11" x14ac:dyDescent="0.35">
      <c r="A1414" s="204">
        <v>34269</v>
      </c>
      <c r="B1414" s="544">
        <v>5.75</v>
      </c>
      <c r="C1414">
        <v>6.5</v>
      </c>
      <c r="D1414">
        <v>8.25</v>
      </c>
      <c r="E1414">
        <v>8.75</v>
      </c>
      <c r="F1414">
        <v>4.25</v>
      </c>
      <c r="G1414">
        <v>5</v>
      </c>
      <c r="H1414">
        <v>5.63</v>
      </c>
      <c r="I1414">
        <v>4.75</v>
      </c>
      <c r="J1414">
        <v>3.4</v>
      </c>
      <c r="K1414">
        <v>0.5</v>
      </c>
    </row>
    <row r="1415" spans="1:11" x14ac:dyDescent="0.35">
      <c r="A1415" s="204">
        <v>34276</v>
      </c>
      <c r="B1415" s="544">
        <v>5.75</v>
      </c>
      <c r="C1415">
        <v>6.5</v>
      </c>
      <c r="D1415">
        <v>8.25</v>
      </c>
      <c r="E1415">
        <v>8.75</v>
      </c>
      <c r="F1415">
        <v>4.25</v>
      </c>
      <c r="G1415">
        <v>5</v>
      </c>
      <c r="H1415">
        <v>5.63</v>
      </c>
      <c r="I1415">
        <v>4.75</v>
      </c>
      <c r="J1415">
        <v>3.28</v>
      </c>
      <c r="K1415">
        <v>0.5</v>
      </c>
    </row>
    <row r="1416" spans="1:11" x14ac:dyDescent="0.35">
      <c r="A1416" s="204">
        <v>34283</v>
      </c>
      <c r="B1416" s="544">
        <v>5.5</v>
      </c>
      <c r="C1416">
        <v>6.25</v>
      </c>
      <c r="D1416">
        <v>6.9</v>
      </c>
      <c r="E1416">
        <v>7.75</v>
      </c>
      <c r="F1416">
        <v>4.25</v>
      </c>
      <c r="G1416">
        <v>4.75</v>
      </c>
      <c r="H1416">
        <v>5.5</v>
      </c>
      <c r="I1416">
        <v>4.63</v>
      </c>
      <c r="J1416">
        <v>3.17</v>
      </c>
      <c r="K1416">
        <v>0.5</v>
      </c>
    </row>
    <row r="1417" spans="1:11" x14ac:dyDescent="0.35">
      <c r="A1417" s="204">
        <v>34290</v>
      </c>
      <c r="B1417" s="544">
        <v>5.5</v>
      </c>
      <c r="C1417">
        <v>6.25</v>
      </c>
      <c r="D1417">
        <v>6.9</v>
      </c>
      <c r="E1417">
        <v>7.75</v>
      </c>
      <c r="F1417">
        <v>4</v>
      </c>
      <c r="G1417">
        <v>4.75</v>
      </c>
      <c r="H1417">
        <v>5.5</v>
      </c>
      <c r="I1417">
        <v>4.63</v>
      </c>
      <c r="J1417">
        <v>3.23</v>
      </c>
      <c r="K1417">
        <v>0.5</v>
      </c>
    </row>
    <row r="1418" spans="1:11" x14ac:dyDescent="0.35">
      <c r="A1418" s="204">
        <v>34297</v>
      </c>
      <c r="B1418" s="544">
        <v>5.5</v>
      </c>
      <c r="C1418">
        <v>6.25</v>
      </c>
      <c r="D1418">
        <v>6.9</v>
      </c>
      <c r="E1418">
        <v>7.75</v>
      </c>
      <c r="F1418">
        <v>4</v>
      </c>
      <c r="G1418">
        <v>4.75</v>
      </c>
      <c r="H1418">
        <v>5.5</v>
      </c>
      <c r="I1418">
        <v>4.63</v>
      </c>
      <c r="J1418">
        <v>3.13</v>
      </c>
      <c r="K1418">
        <v>0.5</v>
      </c>
    </row>
    <row r="1419" spans="1:11" x14ac:dyDescent="0.35">
      <c r="A1419" s="204">
        <v>34304</v>
      </c>
      <c r="B1419" s="544">
        <v>5.5</v>
      </c>
      <c r="C1419">
        <v>6.25</v>
      </c>
      <c r="D1419">
        <v>6.9</v>
      </c>
      <c r="E1419">
        <v>7.75</v>
      </c>
      <c r="F1419">
        <v>4</v>
      </c>
      <c r="G1419">
        <v>4.75</v>
      </c>
      <c r="H1419">
        <v>5.5</v>
      </c>
      <c r="I1419">
        <v>4.63</v>
      </c>
      <c r="J1419">
        <v>3.11</v>
      </c>
      <c r="K1419">
        <v>0.5</v>
      </c>
    </row>
    <row r="1420" spans="1:11" x14ac:dyDescent="0.35">
      <c r="A1420" s="204">
        <v>34311</v>
      </c>
      <c r="B1420" s="544">
        <v>5.5</v>
      </c>
      <c r="C1420">
        <v>6.25</v>
      </c>
      <c r="D1420">
        <v>6.9</v>
      </c>
      <c r="E1420">
        <v>7.75</v>
      </c>
      <c r="F1420">
        <v>3.75</v>
      </c>
      <c r="G1420">
        <v>4.5</v>
      </c>
      <c r="H1420">
        <v>5.25</v>
      </c>
      <c r="I1420">
        <v>4.63</v>
      </c>
      <c r="J1420">
        <v>2.99</v>
      </c>
      <c r="K1420">
        <v>0.5</v>
      </c>
    </row>
    <row r="1421" spans="1:11" x14ac:dyDescent="0.35">
      <c r="A1421" s="204">
        <v>34318</v>
      </c>
      <c r="B1421" s="544">
        <v>5.5</v>
      </c>
      <c r="C1421">
        <v>6.25</v>
      </c>
      <c r="D1421">
        <v>6.9</v>
      </c>
      <c r="E1421">
        <v>7.75</v>
      </c>
      <c r="F1421">
        <v>3.75</v>
      </c>
      <c r="G1421">
        <v>4.5</v>
      </c>
      <c r="H1421">
        <v>5.25</v>
      </c>
      <c r="I1421">
        <v>4.63</v>
      </c>
      <c r="J1421">
        <v>2.91</v>
      </c>
      <c r="K1421">
        <v>0.5</v>
      </c>
    </row>
    <row r="1422" spans="1:11" x14ac:dyDescent="0.35">
      <c r="A1422" s="204">
        <v>34325</v>
      </c>
      <c r="B1422" s="544">
        <v>5.5</v>
      </c>
      <c r="C1422">
        <v>6.25</v>
      </c>
      <c r="D1422">
        <v>6.9</v>
      </c>
      <c r="E1422">
        <v>7.75</v>
      </c>
      <c r="F1422">
        <v>3.75</v>
      </c>
      <c r="G1422">
        <v>4.5</v>
      </c>
      <c r="H1422">
        <v>5.25</v>
      </c>
      <c r="I1422">
        <v>4.63</v>
      </c>
      <c r="J1422">
        <v>2.92</v>
      </c>
      <c r="K1422">
        <v>0.5</v>
      </c>
    </row>
    <row r="1423" spans="1:11" x14ac:dyDescent="0.35">
      <c r="A1423" s="204">
        <v>34332</v>
      </c>
      <c r="B1423" s="544">
        <v>5.5</v>
      </c>
      <c r="C1423">
        <v>6.25</v>
      </c>
      <c r="D1423">
        <v>6.9</v>
      </c>
      <c r="E1423">
        <v>7.75</v>
      </c>
      <c r="F1423">
        <v>3.5</v>
      </c>
      <c r="G1423">
        <v>4.25</v>
      </c>
      <c r="H1423">
        <v>5</v>
      </c>
      <c r="I1423">
        <v>4.38</v>
      </c>
      <c r="J1423">
        <v>2.92</v>
      </c>
      <c r="K1423">
        <v>0.5</v>
      </c>
    </row>
    <row r="1424" spans="1:11" x14ac:dyDescent="0.35">
      <c r="A1424" s="204">
        <v>34339</v>
      </c>
      <c r="B1424" s="544">
        <v>5.5</v>
      </c>
      <c r="C1424">
        <v>6.25</v>
      </c>
      <c r="D1424">
        <v>6.9</v>
      </c>
      <c r="E1424">
        <v>7.75</v>
      </c>
      <c r="F1424">
        <v>3.5</v>
      </c>
      <c r="G1424">
        <v>4.25</v>
      </c>
      <c r="H1424">
        <v>5</v>
      </c>
      <c r="I1424">
        <v>4.38</v>
      </c>
      <c r="J1424">
        <v>2.88</v>
      </c>
      <c r="K1424">
        <v>0.5</v>
      </c>
    </row>
    <row r="1425" spans="1:11" x14ac:dyDescent="0.35">
      <c r="A1425" s="204">
        <v>34346</v>
      </c>
      <c r="B1425" s="544">
        <v>5.5</v>
      </c>
      <c r="C1425">
        <v>5.75</v>
      </c>
      <c r="D1425">
        <v>6.5</v>
      </c>
      <c r="E1425">
        <v>7.25</v>
      </c>
      <c r="F1425">
        <v>3.5</v>
      </c>
      <c r="G1425">
        <v>4.25</v>
      </c>
      <c r="H1425">
        <v>5</v>
      </c>
      <c r="I1425">
        <v>4.38</v>
      </c>
      <c r="J1425">
        <v>2.75</v>
      </c>
      <c r="K1425">
        <v>0.5</v>
      </c>
    </row>
    <row r="1426" spans="1:11" x14ac:dyDescent="0.35">
      <c r="A1426" s="204">
        <v>34353</v>
      </c>
      <c r="B1426" s="544">
        <v>5.5</v>
      </c>
      <c r="C1426">
        <v>5.75</v>
      </c>
      <c r="D1426">
        <v>6.5</v>
      </c>
      <c r="E1426">
        <v>7.25</v>
      </c>
      <c r="F1426">
        <v>3.5</v>
      </c>
      <c r="G1426">
        <v>4.25</v>
      </c>
      <c r="H1426">
        <v>5</v>
      </c>
      <c r="I1426">
        <v>4.38</v>
      </c>
      <c r="J1426">
        <v>2.75</v>
      </c>
      <c r="K1426">
        <v>0.5</v>
      </c>
    </row>
    <row r="1427" spans="1:11" x14ac:dyDescent="0.35">
      <c r="A1427" s="204">
        <v>34360</v>
      </c>
      <c r="B1427" s="544">
        <v>5.5</v>
      </c>
      <c r="C1427">
        <v>5.75</v>
      </c>
      <c r="D1427">
        <v>6.5</v>
      </c>
      <c r="E1427">
        <v>7.25</v>
      </c>
      <c r="F1427">
        <v>3.25</v>
      </c>
      <c r="G1427">
        <v>4.13</v>
      </c>
      <c r="H1427">
        <v>4.88</v>
      </c>
      <c r="I1427">
        <v>4.25</v>
      </c>
      <c r="J1427">
        <v>2.65</v>
      </c>
      <c r="K1427">
        <v>0.5</v>
      </c>
    </row>
    <row r="1428" spans="1:11" x14ac:dyDescent="0.35">
      <c r="A1428" s="204">
        <v>34367</v>
      </c>
      <c r="B1428" s="544">
        <v>5.5</v>
      </c>
      <c r="C1428">
        <v>5.75</v>
      </c>
      <c r="D1428">
        <v>6.5</v>
      </c>
      <c r="E1428">
        <v>7.25</v>
      </c>
      <c r="F1428">
        <v>3.25</v>
      </c>
      <c r="G1428">
        <v>4.13</v>
      </c>
      <c r="H1428">
        <v>4.88</v>
      </c>
      <c r="I1428">
        <v>4.25</v>
      </c>
      <c r="J1428">
        <v>2.64</v>
      </c>
      <c r="K1428">
        <v>0.5</v>
      </c>
    </row>
    <row r="1429" spans="1:11" x14ac:dyDescent="0.35">
      <c r="A1429" s="204">
        <v>34374</v>
      </c>
      <c r="B1429" s="544">
        <v>5.5</v>
      </c>
      <c r="C1429">
        <v>5.75</v>
      </c>
      <c r="D1429">
        <v>6.5</v>
      </c>
      <c r="E1429">
        <v>7.25</v>
      </c>
      <c r="F1429">
        <v>3.25</v>
      </c>
      <c r="G1429">
        <v>4.13</v>
      </c>
      <c r="H1429">
        <v>5</v>
      </c>
      <c r="I1429">
        <v>4.25</v>
      </c>
      <c r="J1429">
        <v>2.77</v>
      </c>
      <c r="K1429">
        <v>0.5</v>
      </c>
    </row>
    <row r="1430" spans="1:11" x14ac:dyDescent="0.35">
      <c r="A1430" s="204">
        <v>34381</v>
      </c>
      <c r="B1430" s="544">
        <v>5.5</v>
      </c>
      <c r="C1430">
        <v>5.75</v>
      </c>
      <c r="D1430">
        <v>6.5</v>
      </c>
      <c r="E1430">
        <v>7.25</v>
      </c>
      <c r="F1430">
        <v>3.5</v>
      </c>
      <c r="G1430">
        <v>4.38</v>
      </c>
      <c r="H1430">
        <v>5.25</v>
      </c>
      <c r="I1430">
        <v>4.63</v>
      </c>
      <c r="J1430">
        <v>2.83</v>
      </c>
      <c r="K1430">
        <v>0.5</v>
      </c>
    </row>
    <row r="1431" spans="1:11" x14ac:dyDescent="0.35">
      <c r="A1431" s="204">
        <v>34388</v>
      </c>
      <c r="B1431" s="544">
        <v>5.5</v>
      </c>
      <c r="C1431">
        <v>5.75</v>
      </c>
      <c r="D1431">
        <v>6.5</v>
      </c>
      <c r="E1431">
        <v>7.25</v>
      </c>
      <c r="F1431">
        <v>3.5</v>
      </c>
      <c r="G1431">
        <v>4.38</v>
      </c>
      <c r="H1431">
        <v>5.25</v>
      </c>
      <c r="I1431">
        <v>4.63</v>
      </c>
      <c r="J1431">
        <v>2.87</v>
      </c>
      <c r="K1431">
        <v>0.5</v>
      </c>
    </row>
    <row r="1432" spans="1:11" x14ac:dyDescent="0.35">
      <c r="A1432" s="204">
        <v>34395</v>
      </c>
      <c r="B1432" s="544">
        <v>5.5</v>
      </c>
      <c r="C1432">
        <v>5.75</v>
      </c>
      <c r="D1432">
        <v>6.5</v>
      </c>
      <c r="E1432">
        <v>7.25</v>
      </c>
      <c r="F1432">
        <v>3.5</v>
      </c>
      <c r="G1432">
        <v>4.5</v>
      </c>
      <c r="H1432">
        <v>5.38</v>
      </c>
      <c r="I1432">
        <v>4.63</v>
      </c>
      <c r="J1432">
        <v>2.88</v>
      </c>
      <c r="K1432">
        <v>0.5</v>
      </c>
    </row>
    <row r="1433" spans="1:11" x14ac:dyDescent="0.35">
      <c r="A1433" s="204">
        <v>34402</v>
      </c>
      <c r="B1433" s="544">
        <v>5.5</v>
      </c>
      <c r="C1433">
        <v>6.25</v>
      </c>
      <c r="D1433">
        <v>7.25</v>
      </c>
      <c r="E1433">
        <v>7.95</v>
      </c>
      <c r="F1433">
        <v>3.5</v>
      </c>
      <c r="G1433">
        <v>4.5</v>
      </c>
      <c r="H1433">
        <v>5.38</v>
      </c>
      <c r="I1433">
        <v>4.63</v>
      </c>
      <c r="J1433">
        <v>2.93</v>
      </c>
      <c r="K1433">
        <v>0.5</v>
      </c>
    </row>
    <row r="1434" spans="1:11" x14ac:dyDescent="0.35">
      <c r="A1434" s="204">
        <v>34409</v>
      </c>
      <c r="B1434" s="544">
        <v>5.5</v>
      </c>
      <c r="C1434">
        <v>6.25</v>
      </c>
      <c r="D1434">
        <v>7.25</v>
      </c>
      <c r="E1434">
        <v>7.95</v>
      </c>
      <c r="F1434">
        <v>4</v>
      </c>
      <c r="G1434">
        <v>5.25</v>
      </c>
      <c r="H1434">
        <v>6</v>
      </c>
      <c r="I1434">
        <v>5.38</v>
      </c>
      <c r="J1434">
        <v>2.99</v>
      </c>
      <c r="K1434">
        <v>0.5</v>
      </c>
    </row>
    <row r="1435" spans="1:11" x14ac:dyDescent="0.35">
      <c r="A1435" s="204">
        <v>34416</v>
      </c>
      <c r="B1435" s="544">
        <v>5.5</v>
      </c>
      <c r="C1435">
        <v>6.25</v>
      </c>
      <c r="D1435">
        <v>7.25</v>
      </c>
      <c r="E1435">
        <v>7.95</v>
      </c>
      <c r="F1435">
        <v>4</v>
      </c>
      <c r="G1435">
        <v>5.25</v>
      </c>
      <c r="H1435">
        <v>6</v>
      </c>
      <c r="I1435">
        <v>5.38</v>
      </c>
      <c r="J1435">
        <v>3.77</v>
      </c>
      <c r="K1435">
        <v>0.5</v>
      </c>
    </row>
    <row r="1436" spans="1:11" x14ac:dyDescent="0.35">
      <c r="A1436" s="204">
        <v>34423</v>
      </c>
      <c r="B1436" s="544">
        <v>6.25</v>
      </c>
      <c r="C1436">
        <v>7</v>
      </c>
      <c r="D1436">
        <v>8.25</v>
      </c>
      <c r="E1436">
        <v>8.9499999999999993</v>
      </c>
      <c r="F1436">
        <v>4.75</v>
      </c>
      <c r="G1436">
        <v>6</v>
      </c>
      <c r="H1436">
        <v>6.75</v>
      </c>
      <c r="I1436">
        <v>6.13</v>
      </c>
      <c r="J1436">
        <v>4.41</v>
      </c>
      <c r="K1436">
        <v>0.5</v>
      </c>
    </row>
    <row r="1437" spans="1:11" x14ac:dyDescent="0.35">
      <c r="A1437" s="204">
        <v>34430</v>
      </c>
      <c r="B1437" s="544">
        <v>6.75</v>
      </c>
      <c r="C1437">
        <v>7.95</v>
      </c>
      <c r="D1437">
        <v>8.75</v>
      </c>
      <c r="E1437">
        <v>9.5</v>
      </c>
      <c r="F1437">
        <v>5.75</v>
      </c>
      <c r="G1437">
        <v>6.5</v>
      </c>
      <c r="H1437">
        <v>7.25</v>
      </c>
      <c r="I1437">
        <v>6.63</v>
      </c>
      <c r="J1437">
        <v>4.9800000000000004</v>
      </c>
      <c r="K1437">
        <v>0.5</v>
      </c>
    </row>
    <row r="1438" spans="1:11" x14ac:dyDescent="0.35">
      <c r="A1438" s="204">
        <v>34437</v>
      </c>
      <c r="B1438" s="544">
        <v>6.75</v>
      </c>
      <c r="C1438">
        <v>7.95</v>
      </c>
      <c r="D1438">
        <v>8.75</v>
      </c>
      <c r="E1438">
        <v>9.5</v>
      </c>
      <c r="F1438">
        <v>5.75</v>
      </c>
      <c r="G1438">
        <v>6.5</v>
      </c>
      <c r="H1438">
        <v>7.25</v>
      </c>
      <c r="I1438">
        <v>6.63</v>
      </c>
      <c r="J1438">
        <v>4.6100000000000003</v>
      </c>
      <c r="K1438">
        <v>0.5</v>
      </c>
    </row>
    <row r="1439" spans="1:11" x14ac:dyDescent="0.35">
      <c r="A1439" s="204">
        <v>34444</v>
      </c>
      <c r="B1439" s="544">
        <v>6.75</v>
      </c>
      <c r="C1439">
        <v>7.95</v>
      </c>
      <c r="D1439">
        <v>8.75</v>
      </c>
      <c r="E1439">
        <v>9.5</v>
      </c>
      <c r="F1439">
        <v>5.75</v>
      </c>
      <c r="G1439">
        <v>6.5</v>
      </c>
      <c r="H1439">
        <v>7.5</v>
      </c>
      <c r="I1439">
        <v>6.88</v>
      </c>
      <c r="J1439">
        <v>5.03</v>
      </c>
      <c r="K1439">
        <v>0.5</v>
      </c>
    </row>
    <row r="1440" spans="1:11" x14ac:dyDescent="0.35">
      <c r="A1440" s="204">
        <v>34451</v>
      </c>
      <c r="B1440" s="544">
        <v>6.75</v>
      </c>
      <c r="C1440">
        <v>7.95</v>
      </c>
      <c r="D1440">
        <v>8.75</v>
      </c>
      <c r="E1440">
        <v>9.5</v>
      </c>
      <c r="F1440">
        <v>5.75</v>
      </c>
      <c r="G1440">
        <v>6.5</v>
      </c>
      <c r="H1440">
        <v>7.25</v>
      </c>
      <c r="I1440">
        <v>6.88</v>
      </c>
      <c r="J1440">
        <v>4.84</v>
      </c>
      <c r="K1440">
        <v>0.5</v>
      </c>
    </row>
    <row r="1441" spans="1:11" x14ac:dyDescent="0.35">
      <c r="A1441" s="204">
        <v>34458</v>
      </c>
      <c r="B1441" s="544">
        <v>6.75</v>
      </c>
      <c r="C1441">
        <v>7.95</v>
      </c>
      <c r="D1441">
        <v>8.75</v>
      </c>
      <c r="E1441">
        <v>9.5</v>
      </c>
      <c r="F1441">
        <v>5.75</v>
      </c>
      <c r="G1441">
        <v>6.5</v>
      </c>
      <c r="H1441">
        <v>7.25</v>
      </c>
      <c r="I1441">
        <v>6.88</v>
      </c>
      <c r="J1441">
        <v>5.04</v>
      </c>
      <c r="K1441">
        <v>0.5</v>
      </c>
    </row>
    <row r="1442" spans="1:11" x14ac:dyDescent="0.35">
      <c r="A1442" s="204">
        <v>34465</v>
      </c>
      <c r="B1442" s="544">
        <v>6.75</v>
      </c>
      <c r="C1442">
        <v>7.95</v>
      </c>
      <c r="D1442">
        <v>8.75</v>
      </c>
      <c r="E1442">
        <v>9.5</v>
      </c>
      <c r="F1442">
        <v>5.75</v>
      </c>
      <c r="G1442">
        <v>6.5</v>
      </c>
      <c r="H1442">
        <v>7.25</v>
      </c>
      <c r="I1442">
        <v>6.88</v>
      </c>
      <c r="J1442">
        <v>5.38</v>
      </c>
      <c r="K1442">
        <v>0.5</v>
      </c>
    </row>
    <row r="1443" spans="1:11" x14ac:dyDescent="0.35">
      <c r="A1443" s="204">
        <v>34472</v>
      </c>
      <c r="B1443" s="544">
        <v>6.75</v>
      </c>
      <c r="C1443">
        <v>7.95</v>
      </c>
      <c r="D1443">
        <v>8.75</v>
      </c>
      <c r="E1443">
        <v>9.5</v>
      </c>
      <c r="F1443">
        <v>6</v>
      </c>
      <c r="G1443">
        <v>7</v>
      </c>
      <c r="H1443">
        <v>7.75</v>
      </c>
      <c r="I1443">
        <v>7.13</v>
      </c>
      <c r="J1443">
        <v>5.22</v>
      </c>
      <c r="K1443">
        <v>0.5</v>
      </c>
    </row>
    <row r="1444" spans="1:11" x14ac:dyDescent="0.35">
      <c r="A1444" s="204">
        <v>34479</v>
      </c>
      <c r="B1444" s="544">
        <v>6.75</v>
      </c>
      <c r="C1444">
        <v>7.95</v>
      </c>
      <c r="D1444">
        <v>8.75</v>
      </c>
      <c r="E1444">
        <v>9.5</v>
      </c>
      <c r="F1444">
        <v>6</v>
      </c>
      <c r="G1444">
        <v>7</v>
      </c>
      <c r="H1444">
        <v>7.25</v>
      </c>
      <c r="I1444">
        <v>6.63</v>
      </c>
      <c r="J1444">
        <v>5.08</v>
      </c>
      <c r="K1444">
        <v>0.5</v>
      </c>
    </row>
    <row r="1445" spans="1:11" x14ac:dyDescent="0.35">
      <c r="A1445" s="204">
        <v>34486</v>
      </c>
      <c r="B1445" s="544">
        <v>6.75</v>
      </c>
      <c r="C1445">
        <v>7.95</v>
      </c>
      <c r="D1445">
        <v>8.75</v>
      </c>
      <c r="E1445">
        <v>9.5</v>
      </c>
      <c r="F1445">
        <v>6</v>
      </c>
      <c r="G1445">
        <v>7</v>
      </c>
      <c r="H1445">
        <v>7.25</v>
      </c>
      <c r="I1445">
        <v>6.63</v>
      </c>
      <c r="J1445">
        <v>5.36</v>
      </c>
      <c r="K1445">
        <v>0.5</v>
      </c>
    </row>
    <row r="1446" spans="1:11" x14ac:dyDescent="0.35">
      <c r="A1446" s="204">
        <v>34493</v>
      </c>
      <c r="B1446" s="544">
        <v>6.75</v>
      </c>
      <c r="C1446">
        <v>7.95</v>
      </c>
      <c r="D1446">
        <v>8.75</v>
      </c>
      <c r="E1446">
        <v>9.5</v>
      </c>
      <c r="F1446">
        <v>6</v>
      </c>
      <c r="G1446">
        <v>7</v>
      </c>
      <c r="H1446">
        <v>7.25</v>
      </c>
      <c r="I1446">
        <v>6.63</v>
      </c>
      <c r="J1446">
        <v>5.03</v>
      </c>
      <c r="K1446">
        <v>0.5</v>
      </c>
    </row>
    <row r="1447" spans="1:11" x14ac:dyDescent="0.35">
      <c r="A1447" s="204">
        <v>34500</v>
      </c>
      <c r="B1447" s="544">
        <v>6.75</v>
      </c>
      <c r="C1447">
        <v>8.25</v>
      </c>
      <c r="D1447">
        <v>9.25</v>
      </c>
      <c r="E1447">
        <v>9.75</v>
      </c>
      <c r="F1447">
        <v>6</v>
      </c>
      <c r="G1447">
        <v>7</v>
      </c>
      <c r="H1447">
        <v>7.5</v>
      </c>
      <c r="I1447">
        <v>6.88</v>
      </c>
      <c r="J1447">
        <v>5.22</v>
      </c>
      <c r="K1447">
        <v>0.5</v>
      </c>
    </row>
    <row r="1448" spans="1:11" x14ac:dyDescent="0.35">
      <c r="A1448" s="204">
        <v>34507</v>
      </c>
      <c r="B1448" s="544">
        <v>8</v>
      </c>
      <c r="C1448">
        <v>8.25</v>
      </c>
      <c r="D1448">
        <v>9.25</v>
      </c>
      <c r="E1448">
        <v>9.75</v>
      </c>
      <c r="F1448">
        <v>6</v>
      </c>
      <c r="G1448">
        <v>7</v>
      </c>
      <c r="H1448">
        <v>7.5</v>
      </c>
      <c r="I1448">
        <v>6.88</v>
      </c>
      <c r="J1448">
        <v>5.89</v>
      </c>
      <c r="K1448">
        <v>0.5</v>
      </c>
    </row>
    <row r="1449" spans="1:11" x14ac:dyDescent="0.35">
      <c r="A1449" s="204">
        <v>34514</v>
      </c>
      <c r="B1449" s="544">
        <v>8</v>
      </c>
      <c r="C1449">
        <v>8.9499999999999993</v>
      </c>
      <c r="D1449">
        <v>10.38</v>
      </c>
      <c r="E1449">
        <v>10.75</v>
      </c>
      <c r="F1449">
        <v>7.25</v>
      </c>
      <c r="G1449">
        <v>8.1300000000000008</v>
      </c>
      <c r="H1449">
        <v>8.5</v>
      </c>
      <c r="I1449">
        <v>7.88</v>
      </c>
      <c r="J1449">
        <v>5.69</v>
      </c>
      <c r="K1449">
        <v>0.5</v>
      </c>
    </row>
    <row r="1450" spans="1:11" x14ac:dyDescent="0.35">
      <c r="A1450" s="204">
        <v>34521</v>
      </c>
      <c r="B1450" s="544">
        <v>8</v>
      </c>
      <c r="C1450">
        <v>8.9499999999999993</v>
      </c>
      <c r="D1450">
        <v>10.38</v>
      </c>
      <c r="E1450">
        <v>10.75</v>
      </c>
      <c r="F1450">
        <v>7.25</v>
      </c>
      <c r="G1450">
        <v>8.1300000000000008</v>
      </c>
      <c r="H1450">
        <v>8.5</v>
      </c>
      <c r="I1450">
        <v>7.88</v>
      </c>
      <c r="J1450">
        <v>5.39</v>
      </c>
      <c r="K1450">
        <v>0.5</v>
      </c>
    </row>
    <row r="1451" spans="1:11" x14ac:dyDescent="0.35">
      <c r="A1451" s="204">
        <v>34528</v>
      </c>
      <c r="B1451" s="544">
        <v>7.75</v>
      </c>
      <c r="C1451">
        <v>8.9499999999999993</v>
      </c>
      <c r="D1451">
        <v>10.38</v>
      </c>
      <c r="E1451">
        <v>10.75</v>
      </c>
      <c r="F1451">
        <v>7.25</v>
      </c>
      <c r="G1451">
        <v>8.1300000000000008</v>
      </c>
      <c r="H1451">
        <v>8.5</v>
      </c>
      <c r="I1451">
        <v>7.88</v>
      </c>
      <c r="J1451">
        <v>5.25</v>
      </c>
      <c r="K1451">
        <v>0.5</v>
      </c>
    </row>
    <row r="1452" spans="1:11" x14ac:dyDescent="0.35">
      <c r="A1452" s="204">
        <v>34535</v>
      </c>
      <c r="B1452" s="544">
        <v>7.5</v>
      </c>
      <c r="C1452">
        <v>8.9499999999999993</v>
      </c>
      <c r="D1452">
        <v>10.38</v>
      </c>
      <c r="E1452">
        <v>10.75</v>
      </c>
      <c r="F1452">
        <v>7</v>
      </c>
      <c r="G1452">
        <v>8.1300000000000008</v>
      </c>
      <c r="H1452">
        <v>8.5</v>
      </c>
      <c r="I1452">
        <v>7.88</v>
      </c>
      <c r="J1452">
        <v>4.88</v>
      </c>
      <c r="K1452">
        <v>0.5</v>
      </c>
    </row>
    <row r="1453" spans="1:11" x14ac:dyDescent="0.35">
      <c r="A1453" s="204">
        <v>34542</v>
      </c>
      <c r="B1453" s="544">
        <v>7.5</v>
      </c>
      <c r="C1453">
        <v>8.6999999999999993</v>
      </c>
      <c r="D1453">
        <v>10.130000000000001</v>
      </c>
      <c r="E1453">
        <v>10.75</v>
      </c>
      <c r="F1453">
        <v>7</v>
      </c>
      <c r="G1453">
        <v>8.1300000000000008</v>
      </c>
      <c r="H1453">
        <v>8.5</v>
      </c>
      <c r="I1453">
        <v>7.88</v>
      </c>
      <c r="J1453">
        <v>4.8099999999999996</v>
      </c>
      <c r="K1453">
        <v>0.5</v>
      </c>
    </row>
    <row r="1454" spans="1:11" x14ac:dyDescent="0.35">
      <c r="A1454" s="204">
        <v>34549</v>
      </c>
      <c r="B1454" s="544">
        <v>7.25</v>
      </c>
      <c r="C1454">
        <v>8.6999999999999993</v>
      </c>
      <c r="D1454">
        <v>10.130000000000001</v>
      </c>
      <c r="E1454">
        <v>10.75</v>
      </c>
      <c r="F1454">
        <v>6.88</v>
      </c>
      <c r="G1454">
        <v>8</v>
      </c>
      <c r="H1454">
        <v>8.3800000000000008</v>
      </c>
      <c r="I1454">
        <v>7.88</v>
      </c>
      <c r="J1454">
        <v>4.5</v>
      </c>
      <c r="K1454">
        <v>0.5</v>
      </c>
    </row>
    <row r="1455" spans="1:11" x14ac:dyDescent="0.35">
      <c r="A1455" s="204">
        <v>34556</v>
      </c>
      <c r="B1455" s="544">
        <v>7.25</v>
      </c>
      <c r="C1455">
        <v>8.4499999999999993</v>
      </c>
      <c r="D1455">
        <v>9.8800000000000008</v>
      </c>
      <c r="E1455">
        <v>10.25</v>
      </c>
      <c r="F1455">
        <v>6.25</v>
      </c>
      <c r="G1455">
        <v>7.75</v>
      </c>
      <c r="H1455">
        <v>7.88</v>
      </c>
      <c r="I1455">
        <v>7.63</v>
      </c>
      <c r="J1455">
        <v>4.47</v>
      </c>
      <c r="K1455">
        <v>0.5</v>
      </c>
    </row>
    <row r="1456" spans="1:11" x14ac:dyDescent="0.35">
      <c r="A1456" s="204">
        <v>34563</v>
      </c>
      <c r="B1456" s="544">
        <v>7.25</v>
      </c>
      <c r="C1456">
        <v>8.4499999999999993</v>
      </c>
      <c r="D1456">
        <v>9.8800000000000008</v>
      </c>
      <c r="E1456">
        <v>10.25</v>
      </c>
      <c r="F1456">
        <v>6.25</v>
      </c>
      <c r="G1456">
        <v>7.5</v>
      </c>
      <c r="H1456">
        <v>7.88</v>
      </c>
      <c r="I1456">
        <v>7.38</v>
      </c>
      <c r="J1456">
        <v>4.7</v>
      </c>
      <c r="K1456">
        <v>0.5</v>
      </c>
    </row>
    <row r="1457" spans="1:11" x14ac:dyDescent="0.35">
      <c r="A1457" s="204">
        <v>34570</v>
      </c>
      <c r="B1457" s="544">
        <v>7.25</v>
      </c>
      <c r="C1457">
        <v>8.4499999999999993</v>
      </c>
      <c r="D1457">
        <v>9.8800000000000008</v>
      </c>
      <c r="E1457">
        <v>10.25</v>
      </c>
      <c r="F1457">
        <v>6.25</v>
      </c>
      <c r="G1457">
        <v>7.5</v>
      </c>
      <c r="H1457">
        <v>7.88</v>
      </c>
      <c r="I1457">
        <v>7.38</v>
      </c>
      <c r="J1457">
        <v>4.5199999999999996</v>
      </c>
      <c r="K1457">
        <v>0.5</v>
      </c>
    </row>
    <row r="1458" spans="1:11" x14ac:dyDescent="0.35">
      <c r="A1458" s="204">
        <v>34577</v>
      </c>
      <c r="B1458" s="544">
        <v>7.25</v>
      </c>
      <c r="C1458">
        <v>8.4499999999999993</v>
      </c>
      <c r="D1458">
        <v>9.8800000000000008</v>
      </c>
      <c r="E1458">
        <v>10.25</v>
      </c>
      <c r="F1458">
        <v>6.13</v>
      </c>
      <c r="G1458">
        <v>7.5</v>
      </c>
      <c r="H1458">
        <v>7.88</v>
      </c>
      <c r="I1458">
        <v>7.38</v>
      </c>
      <c r="J1458">
        <v>4.5199999999999996</v>
      </c>
      <c r="K1458">
        <v>0.5</v>
      </c>
    </row>
    <row r="1459" spans="1:11" x14ac:dyDescent="0.35">
      <c r="A1459" s="204">
        <v>34584</v>
      </c>
      <c r="B1459" s="544">
        <v>7.25</v>
      </c>
      <c r="C1459">
        <v>8.4499999999999993</v>
      </c>
      <c r="D1459">
        <v>9.8800000000000008</v>
      </c>
      <c r="E1459">
        <v>10.25</v>
      </c>
      <c r="F1459">
        <v>5.88</v>
      </c>
      <c r="G1459">
        <v>7.5</v>
      </c>
      <c r="H1459">
        <v>7.88</v>
      </c>
      <c r="I1459">
        <v>7.38</v>
      </c>
      <c r="J1459">
        <v>4.72</v>
      </c>
      <c r="K1459">
        <v>0.5</v>
      </c>
    </row>
    <row r="1460" spans="1:11" x14ac:dyDescent="0.35">
      <c r="A1460" s="204">
        <v>34591</v>
      </c>
      <c r="B1460" s="544">
        <v>7</v>
      </c>
      <c r="C1460">
        <v>8.4499999999999993</v>
      </c>
      <c r="D1460">
        <v>9.8800000000000008</v>
      </c>
      <c r="E1460">
        <v>10.25</v>
      </c>
      <c r="F1460">
        <v>5.88</v>
      </c>
      <c r="G1460">
        <v>7.5</v>
      </c>
      <c r="H1460">
        <v>7.88</v>
      </c>
      <c r="I1460">
        <v>7.38</v>
      </c>
      <c r="J1460">
        <v>4.4800000000000004</v>
      </c>
      <c r="K1460">
        <v>0.5</v>
      </c>
    </row>
    <row r="1461" spans="1:11" x14ac:dyDescent="0.35">
      <c r="A1461" s="204">
        <v>34598</v>
      </c>
      <c r="B1461" s="544">
        <v>7</v>
      </c>
      <c r="C1461">
        <v>8</v>
      </c>
      <c r="D1461">
        <v>9.5</v>
      </c>
      <c r="E1461">
        <v>9.9</v>
      </c>
      <c r="F1461">
        <v>5.88</v>
      </c>
      <c r="G1461">
        <v>7.13</v>
      </c>
      <c r="H1461">
        <v>7.63</v>
      </c>
      <c r="I1461">
        <v>7.13</v>
      </c>
      <c r="J1461">
        <v>4.41</v>
      </c>
      <c r="K1461">
        <v>0.5</v>
      </c>
    </row>
    <row r="1462" spans="1:11" x14ac:dyDescent="0.35">
      <c r="A1462" s="204">
        <v>34605</v>
      </c>
      <c r="B1462" s="544">
        <v>7</v>
      </c>
      <c r="C1462">
        <v>8</v>
      </c>
      <c r="D1462">
        <v>9.5</v>
      </c>
      <c r="E1462">
        <v>9.9</v>
      </c>
      <c r="F1462">
        <v>5.88</v>
      </c>
      <c r="G1462">
        <v>7.13</v>
      </c>
      <c r="H1462">
        <v>7.63</v>
      </c>
      <c r="I1462">
        <v>7.13</v>
      </c>
      <c r="J1462">
        <v>4.3099999999999996</v>
      </c>
      <c r="K1462">
        <v>0.5</v>
      </c>
    </row>
    <row r="1463" spans="1:11" x14ac:dyDescent="0.35">
      <c r="A1463" s="204">
        <v>34612</v>
      </c>
      <c r="B1463" s="544">
        <v>7</v>
      </c>
      <c r="C1463">
        <v>8</v>
      </c>
      <c r="D1463">
        <v>9.5</v>
      </c>
      <c r="E1463">
        <v>9.9</v>
      </c>
      <c r="F1463">
        <v>5.88</v>
      </c>
      <c r="G1463">
        <v>7.13</v>
      </c>
      <c r="H1463">
        <v>7.63</v>
      </c>
      <c r="I1463">
        <v>7.13</v>
      </c>
      <c r="J1463">
        <v>4.3099999999999996</v>
      </c>
      <c r="K1463">
        <v>0.5</v>
      </c>
    </row>
    <row r="1464" spans="1:11" x14ac:dyDescent="0.35">
      <c r="A1464" s="204">
        <v>34619</v>
      </c>
      <c r="B1464" s="544">
        <v>7</v>
      </c>
      <c r="C1464">
        <v>8</v>
      </c>
      <c r="D1464">
        <v>9.5</v>
      </c>
      <c r="E1464">
        <v>9.9</v>
      </c>
      <c r="F1464">
        <v>5.88</v>
      </c>
      <c r="G1464">
        <v>7.13</v>
      </c>
      <c r="H1464">
        <v>7.63</v>
      </c>
      <c r="I1464">
        <v>7.13</v>
      </c>
      <c r="J1464">
        <v>4.3899999999999997</v>
      </c>
      <c r="K1464">
        <v>0.5</v>
      </c>
    </row>
    <row r="1465" spans="1:11" x14ac:dyDescent="0.35">
      <c r="A1465" s="204">
        <v>34626</v>
      </c>
      <c r="B1465" s="544">
        <v>7</v>
      </c>
      <c r="C1465">
        <v>8</v>
      </c>
      <c r="D1465">
        <v>9.5</v>
      </c>
      <c r="E1465">
        <v>9.9</v>
      </c>
      <c r="F1465">
        <v>5.88</v>
      </c>
      <c r="G1465">
        <v>7.13</v>
      </c>
      <c r="H1465">
        <v>7.63</v>
      </c>
      <c r="I1465">
        <v>7.13</v>
      </c>
      <c r="J1465">
        <v>4.4800000000000004</v>
      </c>
      <c r="K1465">
        <v>0.5</v>
      </c>
    </row>
    <row r="1466" spans="1:11" x14ac:dyDescent="0.35">
      <c r="A1466" s="204">
        <v>34633</v>
      </c>
      <c r="B1466" s="544">
        <v>7</v>
      </c>
      <c r="C1466">
        <v>8</v>
      </c>
      <c r="D1466">
        <v>9.5</v>
      </c>
      <c r="E1466">
        <v>9.9</v>
      </c>
      <c r="F1466">
        <v>5.88</v>
      </c>
      <c r="G1466">
        <v>7.13</v>
      </c>
      <c r="H1466">
        <v>7.88</v>
      </c>
      <c r="I1466">
        <v>7.38</v>
      </c>
      <c r="J1466">
        <v>4.3899999999999997</v>
      </c>
      <c r="K1466">
        <v>0.5</v>
      </c>
    </row>
    <row r="1467" spans="1:11" x14ac:dyDescent="0.35">
      <c r="A1467" s="204">
        <v>34640</v>
      </c>
      <c r="B1467" s="544">
        <v>7</v>
      </c>
      <c r="C1467">
        <v>8</v>
      </c>
      <c r="D1467">
        <v>9.5</v>
      </c>
      <c r="E1467">
        <v>9.9</v>
      </c>
      <c r="F1467">
        <v>5.88</v>
      </c>
      <c r="G1467">
        <v>7.13</v>
      </c>
      <c r="H1467">
        <v>7.88</v>
      </c>
      <c r="I1467">
        <v>7.38</v>
      </c>
      <c r="J1467">
        <v>4.42</v>
      </c>
      <c r="K1467">
        <v>0.5</v>
      </c>
    </row>
    <row r="1468" spans="1:11" x14ac:dyDescent="0.35">
      <c r="A1468" s="204">
        <v>34647</v>
      </c>
      <c r="B1468" s="544">
        <v>7</v>
      </c>
      <c r="C1468">
        <v>8</v>
      </c>
      <c r="D1468">
        <v>9.5</v>
      </c>
      <c r="E1468">
        <v>9.9</v>
      </c>
      <c r="F1468">
        <v>5.88</v>
      </c>
      <c r="G1468">
        <v>7.13</v>
      </c>
      <c r="H1468">
        <v>7.88</v>
      </c>
      <c r="I1468">
        <v>7.38</v>
      </c>
      <c r="J1468">
        <v>4.58</v>
      </c>
      <c r="K1468">
        <v>0.5</v>
      </c>
    </row>
    <row r="1469" spans="1:11" x14ac:dyDescent="0.35">
      <c r="A1469" s="204">
        <v>34654</v>
      </c>
      <c r="B1469" s="544">
        <v>7</v>
      </c>
      <c r="C1469">
        <v>8</v>
      </c>
      <c r="D1469">
        <v>9.5</v>
      </c>
      <c r="E1469">
        <v>9.9</v>
      </c>
      <c r="F1469">
        <v>5.88</v>
      </c>
      <c r="G1469">
        <v>7.13</v>
      </c>
      <c r="H1469">
        <v>7.88</v>
      </c>
      <c r="I1469">
        <v>7.38</v>
      </c>
      <c r="J1469">
        <v>4.67</v>
      </c>
      <c r="K1469">
        <v>0.5</v>
      </c>
    </row>
    <row r="1470" spans="1:11" x14ac:dyDescent="0.35">
      <c r="A1470" s="204">
        <v>34661</v>
      </c>
      <c r="B1470" s="544">
        <v>7</v>
      </c>
      <c r="C1470">
        <v>8</v>
      </c>
      <c r="D1470">
        <v>9.5</v>
      </c>
      <c r="E1470">
        <v>9.9</v>
      </c>
      <c r="F1470">
        <v>5.88</v>
      </c>
      <c r="G1470">
        <v>7.13</v>
      </c>
      <c r="H1470">
        <v>7.88</v>
      </c>
      <c r="I1470">
        <v>7.38</v>
      </c>
      <c r="J1470">
        <v>4.7300000000000004</v>
      </c>
      <c r="K1470">
        <v>0.5</v>
      </c>
    </row>
    <row r="1471" spans="1:11" x14ac:dyDescent="0.35">
      <c r="A1471" s="204">
        <v>34668</v>
      </c>
      <c r="B1471" s="544">
        <v>7</v>
      </c>
      <c r="C1471">
        <v>8</v>
      </c>
      <c r="D1471">
        <v>9.5</v>
      </c>
      <c r="E1471">
        <v>9.9</v>
      </c>
      <c r="F1471">
        <v>5.88</v>
      </c>
      <c r="G1471">
        <v>7.13</v>
      </c>
      <c r="H1471">
        <v>7.88</v>
      </c>
      <c r="I1471">
        <v>7.38</v>
      </c>
      <c r="J1471">
        <v>4.8099999999999996</v>
      </c>
      <c r="K1471">
        <v>0.5</v>
      </c>
    </row>
    <row r="1472" spans="1:11" x14ac:dyDescent="0.35">
      <c r="A1472" s="204">
        <v>34675</v>
      </c>
      <c r="B1472" s="544">
        <v>7.5</v>
      </c>
      <c r="C1472">
        <v>8</v>
      </c>
      <c r="D1472">
        <v>9.5</v>
      </c>
      <c r="E1472">
        <v>9.9</v>
      </c>
      <c r="F1472">
        <v>5.88</v>
      </c>
      <c r="G1472">
        <v>7.13</v>
      </c>
      <c r="H1472">
        <v>7.88</v>
      </c>
      <c r="I1472">
        <v>7.38</v>
      </c>
      <c r="J1472">
        <v>5.09</v>
      </c>
      <c r="K1472">
        <v>0.5</v>
      </c>
    </row>
    <row r="1473" spans="1:11" x14ac:dyDescent="0.35">
      <c r="A1473" s="204">
        <v>34682</v>
      </c>
      <c r="B1473" s="544">
        <v>8</v>
      </c>
      <c r="C1473">
        <v>9</v>
      </c>
      <c r="D1473">
        <v>10</v>
      </c>
      <c r="E1473">
        <v>10.5</v>
      </c>
      <c r="F1473">
        <v>6.38</v>
      </c>
      <c r="G1473">
        <v>7.63</v>
      </c>
      <c r="H1473">
        <v>8.1300000000000008</v>
      </c>
      <c r="I1473">
        <v>7.63</v>
      </c>
      <c r="J1473">
        <v>5.83</v>
      </c>
      <c r="K1473">
        <v>0.5</v>
      </c>
    </row>
    <row r="1474" spans="1:11" x14ac:dyDescent="0.35">
      <c r="A1474" s="204">
        <v>34689</v>
      </c>
      <c r="B1474" s="544">
        <v>8</v>
      </c>
      <c r="C1474">
        <v>9.5</v>
      </c>
      <c r="D1474">
        <v>10.25</v>
      </c>
      <c r="E1474">
        <v>10.5</v>
      </c>
      <c r="F1474">
        <v>6.88</v>
      </c>
      <c r="G1474">
        <v>7.88</v>
      </c>
      <c r="H1474">
        <v>8.3800000000000008</v>
      </c>
      <c r="I1474">
        <v>7.88</v>
      </c>
      <c r="J1474">
        <v>5.84</v>
      </c>
      <c r="K1474">
        <v>0.5</v>
      </c>
    </row>
    <row r="1475" spans="1:11" x14ac:dyDescent="0.35">
      <c r="A1475" s="204">
        <v>34696</v>
      </c>
      <c r="B1475" s="544">
        <v>8</v>
      </c>
      <c r="C1475">
        <v>9.5</v>
      </c>
      <c r="D1475">
        <v>10.25</v>
      </c>
      <c r="E1475">
        <v>10.5</v>
      </c>
      <c r="F1475">
        <v>6.88</v>
      </c>
      <c r="G1475">
        <v>7.88</v>
      </c>
      <c r="H1475">
        <v>8.3800000000000008</v>
      </c>
      <c r="I1475">
        <v>7.88</v>
      </c>
      <c r="J1475">
        <v>5.81</v>
      </c>
      <c r="K1475">
        <v>0.5</v>
      </c>
    </row>
    <row r="1476" spans="1:11" x14ac:dyDescent="0.35">
      <c r="A1476" s="204">
        <v>34703</v>
      </c>
      <c r="B1476" s="544">
        <v>8</v>
      </c>
      <c r="C1476">
        <v>9.5</v>
      </c>
      <c r="D1476">
        <v>10.25</v>
      </c>
      <c r="E1476">
        <v>10.5</v>
      </c>
      <c r="F1476">
        <v>6.88</v>
      </c>
      <c r="G1476">
        <v>7.88</v>
      </c>
      <c r="H1476">
        <v>8.3800000000000008</v>
      </c>
      <c r="I1476">
        <v>7.88</v>
      </c>
      <c r="J1476">
        <v>6.2</v>
      </c>
      <c r="K1476">
        <v>0.5</v>
      </c>
    </row>
    <row r="1477" spans="1:11" x14ac:dyDescent="0.35">
      <c r="A1477" s="204">
        <v>34710</v>
      </c>
      <c r="B1477" s="544">
        <v>8</v>
      </c>
      <c r="C1477">
        <v>9.5</v>
      </c>
      <c r="D1477">
        <v>10.25</v>
      </c>
      <c r="E1477">
        <v>10.5</v>
      </c>
      <c r="F1477">
        <v>6.88</v>
      </c>
      <c r="G1477">
        <v>7.88</v>
      </c>
      <c r="H1477">
        <v>8.3800000000000008</v>
      </c>
      <c r="I1477">
        <v>7.88</v>
      </c>
      <c r="J1477">
        <v>6.01</v>
      </c>
      <c r="K1477">
        <v>0.5</v>
      </c>
    </row>
    <row r="1478" spans="1:11" x14ac:dyDescent="0.35">
      <c r="A1478" s="204">
        <v>34717</v>
      </c>
      <c r="B1478" s="544">
        <v>9.25</v>
      </c>
      <c r="C1478">
        <v>10</v>
      </c>
      <c r="D1478">
        <v>10.5</v>
      </c>
      <c r="E1478">
        <v>10.75</v>
      </c>
      <c r="F1478">
        <v>7.38</v>
      </c>
      <c r="G1478">
        <v>8.1300000000000008</v>
      </c>
      <c r="H1478">
        <v>8.6300000000000008</v>
      </c>
      <c r="I1478">
        <v>8.1300000000000008</v>
      </c>
      <c r="J1478">
        <v>6.98</v>
      </c>
      <c r="K1478">
        <v>0.5</v>
      </c>
    </row>
    <row r="1479" spans="1:11" x14ac:dyDescent="0.35">
      <c r="A1479" s="204">
        <v>34724</v>
      </c>
      <c r="B1479" s="544">
        <v>9.25</v>
      </c>
      <c r="C1479">
        <v>10</v>
      </c>
      <c r="D1479">
        <v>10.5</v>
      </c>
      <c r="E1479">
        <v>10.75</v>
      </c>
      <c r="F1479">
        <v>7.38</v>
      </c>
      <c r="G1479">
        <v>8.1300000000000008</v>
      </c>
      <c r="H1479">
        <v>8.6300000000000008</v>
      </c>
      <c r="I1479">
        <v>8.25</v>
      </c>
      <c r="J1479">
        <v>7.15</v>
      </c>
      <c r="K1479">
        <v>0.5</v>
      </c>
    </row>
    <row r="1480" spans="1:11" x14ac:dyDescent="0.35">
      <c r="A1480" s="204">
        <v>34731</v>
      </c>
      <c r="B1480" s="544">
        <v>9.25</v>
      </c>
      <c r="C1480">
        <v>10</v>
      </c>
      <c r="D1480">
        <v>10.5</v>
      </c>
      <c r="E1480">
        <v>10.75</v>
      </c>
      <c r="F1480">
        <v>7.38</v>
      </c>
      <c r="G1480">
        <v>8.1300000000000008</v>
      </c>
      <c r="H1480">
        <v>8.6300000000000008</v>
      </c>
      <c r="I1480">
        <v>8.25</v>
      </c>
      <c r="J1480">
        <v>7</v>
      </c>
      <c r="K1480">
        <v>0.5</v>
      </c>
    </row>
    <row r="1481" spans="1:11" x14ac:dyDescent="0.35">
      <c r="A1481" s="204">
        <v>34738</v>
      </c>
      <c r="B1481" s="544">
        <v>9.25</v>
      </c>
      <c r="C1481">
        <v>9.75</v>
      </c>
      <c r="D1481">
        <v>10.130000000000001</v>
      </c>
      <c r="E1481">
        <v>10.38</v>
      </c>
      <c r="F1481">
        <v>7.38</v>
      </c>
      <c r="G1481">
        <v>7.75</v>
      </c>
      <c r="H1481">
        <v>8.25</v>
      </c>
      <c r="I1481">
        <v>7.88</v>
      </c>
      <c r="J1481">
        <v>6.72</v>
      </c>
      <c r="K1481">
        <v>0.5</v>
      </c>
    </row>
    <row r="1482" spans="1:11" x14ac:dyDescent="0.35">
      <c r="A1482" s="204">
        <v>34745</v>
      </c>
      <c r="B1482" s="544">
        <v>9.25</v>
      </c>
      <c r="C1482">
        <v>9.75</v>
      </c>
      <c r="D1482">
        <v>10</v>
      </c>
      <c r="E1482">
        <v>10.38</v>
      </c>
      <c r="F1482">
        <v>7.38</v>
      </c>
      <c r="G1482">
        <v>7.75</v>
      </c>
      <c r="H1482">
        <v>8.25</v>
      </c>
      <c r="I1482">
        <v>7.88</v>
      </c>
      <c r="J1482">
        <v>6.84</v>
      </c>
      <c r="K1482">
        <v>0.5</v>
      </c>
    </row>
    <row r="1483" spans="1:11" x14ac:dyDescent="0.35">
      <c r="A1483" s="204">
        <v>34752</v>
      </c>
      <c r="B1483" s="544">
        <v>9.5</v>
      </c>
      <c r="C1483">
        <v>9.6300000000000008</v>
      </c>
      <c r="D1483">
        <v>10</v>
      </c>
      <c r="E1483">
        <v>10.38</v>
      </c>
      <c r="F1483">
        <v>7.38</v>
      </c>
      <c r="G1483">
        <v>7.75</v>
      </c>
      <c r="H1483">
        <v>8.25</v>
      </c>
      <c r="I1483">
        <v>7.88</v>
      </c>
      <c r="J1483">
        <v>7.15</v>
      </c>
      <c r="K1483">
        <v>0.5</v>
      </c>
    </row>
    <row r="1484" spans="1:11" x14ac:dyDescent="0.35">
      <c r="A1484" s="204">
        <v>34759</v>
      </c>
      <c r="B1484" s="544">
        <v>9.25</v>
      </c>
      <c r="C1484">
        <v>9.6300000000000008</v>
      </c>
      <c r="D1484">
        <v>10</v>
      </c>
      <c r="E1484">
        <v>10.25</v>
      </c>
      <c r="F1484">
        <v>7.38</v>
      </c>
      <c r="G1484">
        <v>7.75</v>
      </c>
      <c r="H1484">
        <v>8.1300000000000008</v>
      </c>
      <c r="I1484">
        <v>7.75</v>
      </c>
      <c r="J1484">
        <v>6.79</v>
      </c>
      <c r="K1484">
        <v>0.5</v>
      </c>
    </row>
    <row r="1485" spans="1:11" x14ac:dyDescent="0.35">
      <c r="A1485" s="204">
        <v>34766</v>
      </c>
      <c r="B1485" s="544">
        <v>9.75</v>
      </c>
      <c r="C1485">
        <v>9.25</v>
      </c>
      <c r="D1485">
        <v>9.6300000000000008</v>
      </c>
      <c r="E1485">
        <v>9.8800000000000008</v>
      </c>
      <c r="F1485">
        <v>7</v>
      </c>
      <c r="G1485">
        <v>7.38</v>
      </c>
      <c r="H1485">
        <v>7.75</v>
      </c>
      <c r="I1485">
        <v>7.38</v>
      </c>
      <c r="J1485">
        <v>7.37</v>
      </c>
      <c r="K1485">
        <v>0.5</v>
      </c>
    </row>
    <row r="1486" spans="1:11" x14ac:dyDescent="0.35">
      <c r="A1486" s="204">
        <v>34773</v>
      </c>
      <c r="B1486" s="544">
        <v>9.75</v>
      </c>
      <c r="C1486">
        <v>9.25</v>
      </c>
      <c r="D1486">
        <v>9.6300000000000008</v>
      </c>
      <c r="E1486">
        <v>9.8800000000000008</v>
      </c>
      <c r="F1486">
        <v>7</v>
      </c>
      <c r="G1486">
        <v>7.38</v>
      </c>
      <c r="H1486">
        <v>7.75</v>
      </c>
      <c r="I1486">
        <v>7.38</v>
      </c>
      <c r="J1486">
        <v>7.17</v>
      </c>
      <c r="K1486">
        <v>0.5</v>
      </c>
    </row>
    <row r="1487" spans="1:11" x14ac:dyDescent="0.35">
      <c r="A1487" s="204">
        <v>34780</v>
      </c>
      <c r="B1487" s="544">
        <v>9.75</v>
      </c>
      <c r="C1487">
        <v>9.25</v>
      </c>
      <c r="D1487">
        <v>9.6300000000000008</v>
      </c>
      <c r="E1487">
        <v>9.8800000000000008</v>
      </c>
      <c r="F1487">
        <v>7</v>
      </c>
      <c r="G1487">
        <v>7.38</v>
      </c>
      <c r="H1487">
        <v>7.75</v>
      </c>
      <c r="I1487">
        <v>7.38</v>
      </c>
      <c r="J1487">
        <v>7.17</v>
      </c>
      <c r="K1487">
        <v>0.5</v>
      </c>
    </row>
    <row r="1488" spans="1:11" x14ac:dyDescent="0.35">
      <c r="A1488" s="204">
        <v>34787</v>
      </c>
      <c r="B1488" s="544">
        <v>9.75</v>
      </c>
      <c r="C1488">
        <v>9.25</v>
      </c>
      <c r="D1488">
        <v>9.6300000000000008</v>
      </c>
      <c r="E1488">
        <v>9.8800000000000008</v>
      </c>
      <c r="F1488">
        <v>7</v>
      </c>
      <c r="G1488">
        <v>7.38</v>
      </c>
      <c r="H1488">
        <v>7.75</v>
      </c>
      <c r="I1488">
        <v>7.38</v>
      </c>
      <c r="J1488">
        <v>7.24</v>
      </c>
      <c r="K1488">
        <v>0.5</v>
      </c>
    </row>
    <row r="1489" spans="1:11" x14ac:dyDescent="0.35">
      <c r="A1489" s="204">
        <v>34794</v>
      </c>
      <c r="B1489" s="544">
        <v>9.75</v>
      </c>
      <c r="C1489">
        <v>9.25</v>
      </c>
      <c r="D1489">
        <v>9.6300000000000008</v>
      </c>
      <c r="E1489">
        <v>9.8800000000000008</v>
      </c>
      <c r="F1489">
        <v>7</v>
      </c>
      <c r="G1489">
        <v>7.38</v>
      </c>
      <c r="H1489">
        <v>7.75</v>
      </c>
      <c r="I1489">
        <v>7.38</v>
      </c>
      <c r="J1489">
        <v>7.31</v>
      </c>
      <c r="K1489">
        <v>0.5</v>
      </c>
    </row>
    <row r="1490" spans="1:11" x14ac:dyDescent="0.35">
      <c r="A1490" s="204">
        <v>34801</v>
      </c>
      <c r="B1490" s="544">
        <v>9.75</v>
      </c>
      <c r="C1490">
        <v>9.25</v>
      </c>
      <c r="D1490">
        <v>9.6300000000000008</v>
      </c>
      <c r="E1490">
        <v>9.8800000000000008</v>
      </c>
      <c r="F1490">
        <v>7</v>
      </c>
      <c r="G1490">
        <v>7.38</v>
      </c>
      <c r="H1490">
        <v>7.75</v>
      </c>
      <c r="I1490">
        <v>7.38</v>
      </c>
      <c r="J1490">
        <v>7.07</v>
      </c>
      <c r="K1490">
        <v>0.5</v>
      </c>
    </row>
    <row r="1491" spans="1:11" x14ac:dyDescent="0.35">
      <c r="A1491" s="204">
        <v>34808</v>
      </c>
      <c r="B1491" s="544">
        <v>9.75</v>
      </c>
      <c r="C1491">
        <v>9.25</v>
      </c>
      <c r="D1491">
        <v>9.1300000000000008</v>
      </c>
      <c r="E1491">
        <v>9.3800000000000008</v>
      </c>
      <c r="F1491">
        <v>7</v>
      </c>
      <c r="G1491">
        <v>7.38</v>
      </c>
      <c r="H1491">
        <v>7.75</v>
      </c>
      <c r="I1491">
        <v>7.38</v>
      </c>
      <c r="J1491">
        <v>6.95</v>
      </c>
      <c r="K1491">
        <v>0.5</v>
      </c>
    </row>
    <row r="1492" spans="1:11" x14ac:dyDescent="0.35">
      <c r="A1492" s="204">
        <v>34815</v>
      </c>
      <c r="B1492" s="544">
        <v>9.75</v>
      </c>
      <c r="C1492">
        <v>9</v>
      </c>
      <c r="D1492">
        <v>9.1300000000000008</v>
      </c>
      <c r="E1492">
        <v>9.3800000000000008</v>
      </c>
      <c r="F1492">
        <v>6.75</v>
      </c>
      <c r="G1492">
        <v>6.88</v>
      </c>
      <c r="H1492">
        <v>7.25</v>
      </c>
      <c r="I1492">
        <v>7.13</v>
      </c>
      <c r="J1492">
        <v>6.94</v>
      </c>
      <c r="K1492">
        <v>0.5</v>
      </c>
    </row>
    <row r="1493" spans="1:11" x14ac:dyDescent="0.35">
      <c r="A1493" s="204">
        <v>34822</v>
      </c>
      <c r="B1493" s="544">
        <v>9.75</v>
      </c>
      <c r="C1493">
        <v>9</v>
      </c>
      <c r="D1493">
        <v>9.1300000000000008</v>
      </c>
      <c r="E1493">
        <v>9.3800000000000008</v>
      </c>
      <c r="F1493">
        <v>6.75</v>
      </c>
      <c r="G1493">
        <v>6.88</v>
      </c>
      <c r="H1493">
        <v>7.25</v>
      </c>
      <c r="I1493">
        <v>6.88</v>
      </c>
      <c r="J1493">
        <v>6.77</v>
      </c>
      <c r="K1493">
        <v>0.5</v>
      </c>
    </row>
    <row r="1494" spans="1:11" x14ac:dyDescent="0.35">
      <c r="A1494" s="204">
        <v>34829</v>
      </c>
      <c r="B1494" s="544">
        <v>9.25</v>
      </c>
      <c r="C1494">
        <v>8.5</v>
      </c>
      <c r="D1494">
        <v>8.6300000000000008</v>
      </c>
      <c r="E1494">
        <v>8.8800000000000008</v>
      </c>
      <c r="F1494">
        <v>6.25</v>
      </c>
      <c r="G1494">
        <v>6.38</v>
      </c>
      <c r="H1494">
        <v>6.75</v>
      </c>
      <c r="I1494">
        <v>6.38</v>
      </c>
      <c r="J1494">
        <v>6.24</v>
      </c>
      <c r="K1494">
        <v>0.5</v>
      </c>
    </row>
    <row r="1495" spans="1:11" x14ac:dyDescent="0.35">
      <c r="A1495" s="204">
        <v>34836</v>
      </c>
      <c r="B1495" s="544">
        <v>9.25</v>
      </c>
      <c r="C1495">
        <v>8.5</v>
      </c>
      <c r="D1495">
        <v>8.6300000000000008</v>
      </c>
      <c r="E1495">
        <v>8.8800000000000008</v>
      </c>
      <c r="F1495">
        <v>6.25</v>
      </c>
      <c r="G1495">
        <v>6.38</v>
      </c>
      <c r="H1495">
        <v>6.75</v>
      </c>
      <c r="I1495">
        <v>6.38</v>
      </c>
      <c r="J1495">
        <v>6.37</v>
      </c>
      <c r="K1495">
        <v>0.5</v>
      </c>
    </row>
    <row r="1496" spans="1:11" x14ac:dyDescent="0.35">
      <c r="A1496" s="204">
        <v>34843</v>
      </c>
      <c r="B1496" s="544">
        <v>9.25</v>
      </c>
      <c r="C1496">
        <v>8.5</v>
      </c>
      <c r="D1496">
        <v>8.6300000000000008</v>
      </c>
      <c r="E1496">
        <v>8.8800000000000008</v>
      </c>
      <c r="F1496">
        <v>6.25</v>
      </c>
      <c r="G1496">
        <v>6.38</v>
      </c>
      <c r="H1496">
        <v>6.75</v>
      </c>
      <c r="I1496">
        <v>6.38</v>
      </c>
      <c r="J1496">
        <v>6.48</v>
      </c>
      <c r="K1496">
        <v>0.5</v>
      </c>
    </row>
    <row r="1497" spans="1:11" x14ac:dyDescent="0.35">
      <c r="A1497" s="204">
        <v>34850</v>
      </c>
      <c r="B1497" s="544">
        <v>9.25</v>
      </c>
      <c r="C1497">
        <v>8.5</v>
      </c>
      <c r="D1497">
        <v>8.6300000000000008</v>
      </c>
      <c r="E1497">
        <v>8.8800000000000008</v>
      </c>
      <c r="F1497">
        <v>6.25</v>
      </c>
      <c r="G1497">
        <v>6.38</v>
      </c>
      <c r="H1497">
        <v>6.75</v>
      </c>
      <c r="I1497">
        <v>6.38</v>
      </c>
      <c r="J1497">
        <v>6.41</v>
      </c>
      <c r="K1497">
        <v>0.5</v>
      </c>
    </row>
    <row r="1498" spans="1:11" x14ac:dyDescent="0.35">
      <c r="A1498" s="204">
        <v>34857</v>
      </c>
      <c r="B1498" s="544">
        <v>9</v>
      </c>
      <c r="C1498">
        <v>8.25</v>
      </c>
      <c r="D1498">
        <v>8.3800000000000008</v>
      </c>
      <c r="E1498">
        <v>8.6300000000000008</v>
      </c>
      <c r="F1498">
        <v>6</v>
      </c>
      <c r="G1498">
        <v>6.13</v>
      </c>
      <c r="H1498">
        <v>6.5</v>
      </c>
      <c r="I1498">
        <v>6.13</v>
      </c>
      <c r="J1498">
        <v>6.15</v>
      </c>
      <c r="K1498">
        <v>0.5</v>
      </c>
    </row>
    <row r="1499" spans="1:11" x14ac:dyDescent="0.35">
      <c r="A1499" s="204">
        <v>34864</v>
      </c>
      <c r="B1499" s="544">
        <v>8.75</v>
      </c>
      <c r="C1499">
        <v>8</v>
      </c>
      <c r="D1499">
        <v>8.25</v>
      </c>
      <c r="E1499">
        <v>8.6300000000000008</v>
      </c>
      <c r="F1499">
        <v>6</v>
      </c>
      <c r="G1499">
        <v>6.13</v>
      </c>
      <c r="H1499">
        <v>6.5</v>
      </c>
      <c r="I1499">
        <v>6.13</v>
      </c>
      <c r="J1499">
        <v>5.96</v>
      </c>
      <c r="K1499">
        <v>0.5</v>
      </c>
    </row>
    <row r="1500" spans="1:11" x14ac:dyDescent="0.35">
      <c r="A1500" s="204">
        <v>34871</v>
      </c>
      <c r="B1500" s="544">
        <v>8.75</v>
      </c>
      <c r="C1500">
        <v>8</v>
      </c>
      <c r="D1500">
        <v>8.25</v>
      </c>
      <c r="E1500">
        <v>8.6300000000000008</v>
      </c>
      <c r="F1500">
        <v>5.88</v>
      </c>
      <c r="G1500">
        <v>6</v>
      </c>
      <c r="H1500">
        <v>6.5</v>
      </c>
      <c r="I1500">
        <v>6.13</v>
      </c>
      <c r="J1500">
        <v>5.76</v>
      </c>
      <c r="K1500">
        <v>0.5</v>
      </c>
    </row>
    <row r="1501" spans="1:11" x14ac:dyDescent="0.35">
      <c r="A1501" s="204">
        <v>34878</v>
      </c>
      <c r="B1501" s="544">
        <v>8.75</v>
      </c>
      <c r="C1501">
        <v>8</v>
      </c>
      <c r="D1501">
        <v>8.25</v>
      </c>
      <c r="E1501">
        <v>8.6300000000000008</v>
      </c>
      <c r="F1501">
        <v>5.88</v>
      </c>
      <c r="G1501">
        <v>6</v>
      </c>
      <c r="H1501">
        <v>6.5</v>
      </c>
      <c r="I1501">
        <v>6.13</v>
      </c>
      <c r="J1501">
        <v>5.74</v>
      </c>
      <c r="K1501">
        <v>0.5</v>
      </c>
    </row>
    <row r="1502" spans="1:11" x14ac:dyDescent="0.35">
      <c r="A1502" s="204">
        <v>34885</v>
      </c>
      <c r="B1502" s="544">
        <v>8.75</v>
      </c>
      <c r="C1502">
        <v>8</v>
      </c>
      <c r="D1502">
        <v>8.25</v>
      </c>
      <c r="E1502">
        <v>8.6300000000000008</v>
      </c>
      <c r="F1502">
        <v>5.88</v>
      </c>
      <c r="G1502">
        <v>6</v>
      </c>
      <c r="H1502">
        <v>6.5</v>
      </c>
      <c r="I1502">
        <v>6.13</v>
      </c>
      <c r="J1502">
        <v>5.82</v>
      </c>
      <c r="K1502">
        <v>0.5</v>
      </c>
    </row>
    <row r="1503" spans="1:11" x14ac:dyDescent="0.35">
      <c r="A1503" s="204">
        <v>34892</v>
      </c>
      <c r="B1503" s="544">
        <v>8.25</v>
      </c>
      <c r="C1503">
        <v>7.63</v>
      </c>
      <c r="D1503">
        <v>8.1300000000000008</v>
      </c>
      <c r="E1503">
        <v>8.5</v>
      </c>
      <c r="F1503">
        <v>5.38</v>
      </c>
      <c r="G1503">
        <v>5.88</v>
      </c>
      <c r="H1503">
        <v>6.38</v>
      </c>
      <c r="I1503">
        <v>6</v>
      </c>
      <c r="J1503">
        <v>5.35</v>
      </c>
      <c r="K1503">
        <v>0.5</v>
      </c>
    </row>
    <row r="1504" spans="1:11" x14ac:dyDescent="0.35">
      <c r="A1504" s="204">
        <v>34899</v>
      </c>
      <c r="B1504" s="544">
        <v>8.25</v>
      </c>
      <c r="C1504">
        <v>7.63</v>
      </c>
      <c r="D1504">
        <v>8.1300000000000008</v>
      </c>
      <c r="E1504">
        <v>8.5</v>
      </c>
      <c r="F1504">
        <v>5.38</v>
      </c>
      <c r="G1504">
        <v>5.88</v>
      </c>
      <c r="H1504">
        <v>6.38</v>
      </c>
      <c r="I1504">
        <v>6</v>
      </c>
      <c r="J1504">
        <v>5.55</v>
      </c>
      <c r="K1504">
        <v>0.5</v>
      </c>
    </row>
    <row r="1505" spans="1:11" x14ac:dyDescent="0.35">
      <c r="A1505" s="204">
        <v>34906</v>
      </c>
      <c r="B1505" s="544">
        <v>8.25</v>
      </c>
      <c r="C1505">
        <v>7.63</v>
      </c>
      <c r="D1505">
        <v>8.1300000000000008</v>
      </c>
      <c r="E1505">
        <v>8.5</v>
      </c>
      <c r="F1505">
        <v>5.38</v>
      </c>
      <c r="G1505">
        <v>5.88</v>
      </c>
      <c r="H1505">
        <v>6.38</v>
      </c>
      <c r="I1505">
        <v>6</v>
      </c>
      <c r="J1505">
        <v>5.64</v>
      </c>
      <c r="K1505">
        <v>0.5</v>
      </c>
    </row>
    <row r="1506" spans="1:11" x14ac:dyDescent="0.35">
      <c r="A1506" s="204">
        <v>34913</v>
      </c>
      <c r="B1506" s="544">
        <v>8.25</v>
      </c>
      <c r="C1506">
        <v>8.1300000000000008</v>
      </c>
      <c r="D1506">
        <v>8.6300000000000008</v>
      </c>
      <c r="E1506">
        <v>8.9499999999999993</v>
      </c>
      <c r="F1506">
        <v>5.88</v>
      </c>
      <c r="G1506">
        <v>6.38</v>
      </c>
      <c r="H1506">
        <v>6.88</v>
      </c>
      <c r="I1506">
        <v>6.5</v>
      </c>
      <c r="J1506">
        <v>5.79</v>
      </c>
      <c r="K1506">
        <v>0.5</v>
      </c>
    </row>
    <row r="1507" spans="1:11" x14ac:dyDescent="0.35">
      <c r="A1507" s="204">
        <v>34920</v>
      </c>
      <c r="B1507" s="544">
        <v>8.25</v>
      </c>
      <c r="C1507">
        <v>8.1300000000000008</v>
      </c>
      <c r="D1507">
        <v>8.6300000000000008</v>
      </c>
      <c r="E1507">
        <v>8.9499999999999993</v>
      </c>
      <c r="F1507">
        <v>5.88</v>
      </c>
      <c r="G1507">
        <v>6.38</v>
      </c>
      <c r="H1507">
        <v>6.88</v>
      </c>
      <c r="I1507">
        <v>6.5</v>
      </c>
      <c r="J1507">
        <v>5.61</v>
      </c>
      <c r="K1507">
        <v>0.5</v>
      </c>
    </row>
    <row r="1508" spans="1:11" x14ac:dyDescent="0.35">
      <c r="A1508" s="204">
        <v>34927</v>
      </c>
      <c r="B1508" s="544">
        <v>8.25</v>
      </c>
      <c r="C1508">
        <v>8.1300000000000008</v>
      </c>
      <c r="D1508">
        <v>8.6300000000000008</v>
      </c>
      <c r="E1508">
        <v>8.9499999999999993</v>
      </c>
      <c r="F1508">
        <v>5.88</v>
      </c>
      <c r="G1508">
        <v>6.38</v>
      </c>
      <c r="H1508">
        <v>6.88</v>
      </c>
      <c r="I1508">
        <v>6.5</v>
      </c>
      <c r="J1508">
        <v>5.59</v>
      </c>
      <c r="K1508">
        <v>0.5</v>
      </c>
    </row>
    <row r="1509" spans="1:11" x14ac:dyDescent="0.35">
      <c r="A1509" s="204">
        <v>34934</v>
      </c>
      <c r="B1509" s="544">
        <v>8.25</v>
      </c>
      <c r="C1509">
        <v>8.1300000000000008</v>
      </c>
      <c r="D1509">
        <v>8.6300000000000008</v>
      </c>
      <c r="E1509">
        <v>8.9499999999999993</v>
      </c>
      <c r="F1509">
        <v>5.88</v>
      </c>
      <c r="G1509">
        <v>6.38</v>
      </c>
      <c r="H1509">
        <v>6.88</v>
      </c>
      <c r="I1509">
        <v>6.5</v>
      </c>
      <c r="J1509">
        <v>5.47</v>
      </c>
      <c r="K1509">
        <v>0.5</v>
      </c>
    </row>
    <row r="1510" spans="1:11" x14ac:dyDescent="0.35">
      <c r="A1510" s="204">
        <v>34941</v>
      </c>
      <c r="B1510" s="544">
        <v>8</v>
      </c>
      <c r="C1510">
        <v>8.1300000000000008</v>
      </c>
      <c r="D1510">
        <v>8.6300000000000008</v>
      </c>
      <c r="E1510">
        <v>8.9499999999999993</v>
      </c>
      <c r="F1510">
        <v>5.88</v>
      </c>
      <c r="G1510">
        <v>6.38</v>
      </c>
      <c r="H1510">
        <v>6.88</v>
      </c>
      <c r="I1510">
        <v>6.5</v>
      </c>
      <c r="J1510">
        <v>5.36</v>
      </c>
      <c r="K1510">
        <v>0.5</v>
      </c>
    </row>
    <row r="1511" spans="1:11" x14ac:dyDescent="0.35">
      <c r="A1511" s="204">
        <v>34948</v>
      </c>
      <c r="B1511" s="544">
        <v>8</v>
      </c>
      <c r="C1511">
        <v>8.1300000000000008</v>
      </c>
      <c r="D1511">
        <v>8.6300000000000008</v>
      </c>
      <c r="E1511">
        <v>8.9499999999999993</v>
      </c>
      <c r="F1511">
        <v>5.88</v>
      </c>
      <c r="G1511">
        <v>6.38</v>
      </c>
      <c r="H1511">
        <v>6.88</v>
      </c>
      <c r="I1511">
        <v>6.5</v>
      </c>
      <c r="J1511">
        <v>5.3</v>
      </c>
      <c r="K1511">
        <v>0.5</v>
      </c>
    </row>
    <row r="1512" spans="1:11" x14ac:dyDescent="0.35">
      <c r="A1512" s="204">
        <v>34955</v>
      </c>
      <c r="B1512" s="544">
        <v>8</v>
      </c>
      <c r="C1512">
        <v>8.1300000000000008</v>
      </c>
      <c r="D1512">
        <v>8.6300000000000008</v>
      </c>
      <c r="E1512">
        <v>8.9499999999999993</v>
      </c>
      <c r="F1512">
        <v>5.88</v>
      </c>
      <c r="G1512">
        <v>6.38</v>
      </c>
      <c r="H1512">
        <v>6.88</v>
      </c>
      <c r="I1512">
        <v>6.5</v>
      </c>
      <c r="J1512">
        <v>5.65</v>
      </c>
      <c r="K1512">
        <v>0.5</v>
      </c>
    </row>
    <row r="1513" spans="1:11" x14ac:dyDescent="0.35">
      <c r="A1513" s="204">
        <v>34962</v>
      </c>
      <c r="B1513" s="544">
        <v>8</v>
      </c>
      <c r="C1513">
        <v>8.1300000000000008</v>
      </c>
      <c r="D1513">
        <v>8.6300000000000008</v>
      </c>
      <c r="E1513">
        <v>8.9499999999999993</v>
      </c>
      <c r="F1513">
        <v>5.88</v>
      </c>
      <c r="G1513">
        <v>6.38</v>
      </c>
      <c r="H1513">
        <v>6.88</v>
      </c>
      <c r="I1513">
        <v>6.5</v>
      </c>
      <c r="J1513">
        <v>5.68</v>
      </c>
      <c r="K1513">
        <v>0.5</v>
      </c>
    </row>
    <row r="1514" spans="1:11" x14ac:dyDescent="0.35">
      <c r="A1514" s="204">
        <v>34969</v>
      </c>
      <c r="B1514" s="544">
        <v>8</v>
      </c>
      <c r="C1514">
        <v>8.1300000000000008</v>
      </c>
      <c r="D1514">
        <v>8.6300000000000008</v>
      </c>
      <c r="E1514">
        <v>8.9499999999999993</v>
      </c>
      <c r="F1514">
        <v>5.88</v>
      </c>
      <c r="G1514">
        <v>6.38</v>
      </c>
      <c r="H1514">
        <v>6.88</v>
      </c>
      <c r="I1514">
        <v>6.5</v>
      </c>
      <c r="J1514">
        <v>5.48</v>
      </c>
      <c r="K1514">
        <v>0.5</v>
      </c>
    </row>
    <row r="1515" spans="1:11" x14ac:dyDescent="0.35">
      <c r="A1515" s="204">
        <v>34976</v>
      </c>
      <c r="B1515" s="544">
        <v>8</v>
      </c>
      <c r="C1515">
        <v>7.75</v>
      </c>
      <c r="D1515">
        <v>8.25</v>
      </c>
      <c r="E1515">
        <v>8.6999999999999993</v>
      </c>
      <c r="F1515">
        <v>5.88</v>
      </c>
      <c r="G1515">
        <v>6.38</v>
      </c>
      <c r="H1515">
        <v>6.88</v>
      </c>
      <c r="I1515">
        <v>6.5</v>
      </c>
      <c r="J1515">
        <v>5.27</v>
      </c>
      <c r="K1515">
        <v>0.5</v>
      </c>
    </row>
    <row r="1516" spans="1:11" x14ac:dyDescent="0.35">
      <c r="A1516" s="204">
        <v>34983</v>
      </c>
      <c r="B1516" s="544">
        <v>8</v>
      </c>
      <c r="C1516">
        <v>7.75</v>
      </c>
      <c r="D1516">
        <v>8.25</v>
      </c>
      <c r="E1516">
        <v>8.6999999999999993</v>
      </c>
      <c r="F1516">
        <v>5.38</v>
      </c>
      <c r="G1516">
        <v>6</v>
      </c>
      <c r="H1516">
        <v>6.63</v>
      </c>
      <c r="I1516">
        <v>6.25</v>
      </c>
      <c r="J1516">
        <v>5.4</v>
      </c>
      <c r="K1516">
        <v>0.5</v>
      </c>
    </row>
    <row r="1517" spans="1:11" x14ac:dyDescent="0.35">
      <c r="A1517" s="204">
        <v>34990</v>
      </c>
      <c r="B1517" s="544">
        <v>8</v>
      </c>
      <c r="C1517">
        <v>7.75</v>
      </c>
      <c r="D1517">
        <v>8.25</v>
      </c>
      <c r="E1517">
        <v>8.6999999999999993</v>
      </c>
      <c r="F1517">
        <v>5.38</v>
      </c>
      <c r="G1517">
        <v>6</v>
      </c>
      <c r="H1517">
        <v>6.63</v>
      </c>
      <c r="I1517">
        <v>6.25</v>
      </c>
      <c r="J1517">
        <v>5.44</v>
      </c>
      <c r="K1517">
        <v>0.5</v>
      </c>
    </row>
    <row r="1518" spans="1:11" x14ac:dyDescent="0.35">
      <c r="A1518" s="204">
        <v>34997</v>
      </c>
      <c r="B1518" s="544">
        <v>8</v>
      </c>
      <c r="C1518">
        <v>7.75</v>
      </c>
      <c r="D1518">
        <v>8.25</v>
      </c>
      <c r="E1518">
        <v>8.6999999999999993</v>
      </c>
      <c r="F1518">
        <v>5.38</v>
      </c>
      <c r="G1518">
        <v>6</v>
      </c>
      <c r="H1518">
        <v>6.63</v>
      </c>
      <c r="I1518">
        <v>6.25</v>
      </c>
      <c r="J1518">
        <v>6.42</v>
      </c>
      <c r="K1518">
        <v>0.5</v>
      </c>
    </row>
    <row r="1519" spans="1:11" x14ac:dyDescent="0.35">
      <c r="A1519" s="204">
        <v>35004</v>
      </c>
      <c r="B1519" s="544">
        <v>7.75</v>
      </c>
      <c r="C1519">
        <v>7.75</v>
      </c>
      <c r="D1519">
        <v>8.25</v>
      </c>
      <c r="E1519">
        <v>8.6999999999999993</v>
      </c>
      <c r="F1519">
        <v>5.38</v>
      </c>
      <c r="G1519">
        <v>6</v>
      </c>
      <c r="H1519">
        <v>6.63</v>
      </c>
      <c r="I1519">
        <v>6.25</v>
      </c>
      <c r="J1519">
        <v>4.95</v>
      </c>
      <c r="K1519">
        <v>0.5</v>
      </c>
    </row>
    <row r="1520" spans="1:11" x14ac:dyDescent="0.35">
      <c r="A1520" s="204">
        <v>35011</v>
      </c>
      <c r="B1520" s="544">
        <v>7.75</v>
      </c>
      <c r="C1520">
        <v>7.75</v>
      </c>
      <c r="D1520">
        <v>8.25</v>
      </c>
      <c r="E1520">
        <v>8.6999999999999993</v>
      </c>
      <c r="F1520">
        <v>5.38</v>
      </c>
      <c r="G1520">
        <v>6</v>
      </c>
      <c r="H1520">
        <v>6.63</v>
      </c>
      <c r="I1520">
        <v>6.25</v>
      </c>
      <c r="J1520">
        <v>4.95</v>
      </c>
      <c r="K1520">
        <v>0.5</v>
      </c>
    </row>
    <row r="1521" spans="1:11" x14ac:dyDescent="0.35">
      <c r="A1521" s="204">
        <v>35018</v>
      </c>
      <c r="B1521" s="544">
        <v>7.75</v>
      </c>
      <c r="C1521">
        <v>7.75</v>
      </c>
      <c r="D1521">
        <v>8.25</v>
      </c>
      <c r="E1521">
        <v>8.6999999999999993</v>
      </c>
      <c r="F1521">
        <v>5.38</v>
      </c>
      <c r="G1521">
        <v>6</v>
      </c>
      <c r="H1521">
        <v>6.63</v>
      </c>
      <c r="I1521">
        <v>6.25</v>
      </c>
      <c r="J1521">
        <v>4.93</v>
      </c>
      <c r="K1521">
        <v>0.5</v>
      </c>
    </row>
    <row r="1522" spans="1:11" x14ac:dyDescent="0.35">
      <c r="A1522" s="204">
        <v>35025</v>
      </c>
      <c r="B1522" s="544">
        <v>7.75</v>
      </c>
      <c r="C1522">
        <v>7.75</v>
      </c>
      <c r="D1522">
        <v>8.25</v>
      </c>
      <c r="E1522">
        <v>8.6999999999999993</v>
      </c>
      <c r="F1522">
        <v>5.38</v>
      </c>
      <c r="G1522">
        <v>6</v>
      </c>
      <c r="H1522">
        <v>6.63</v>
      </c>
      <c r="I1522">
        <v>6.25</v>
      </c>
      <c r="J1522">
        <v>4.8899999999999997</v>
      </c>
      <c r="K1522">
        <v>0.5</v>
      </c>
    </row>
    <row r="1523" spans="1:11" x14ac:dyDescent="0.35">
      <c r="A1523" s="204">
        <v>35032</v>
      </c>
      <c r="B1523" s="544">
        <v>7.75</v>
      </c>
      <c r="C1523">
        <v>7.25</v>
      </c>
      <c r="D1523">
        <v>8</v>
      </c>
      <c r="E1523">
        <v>8.4499999999999993</v>
      </c>
      <c r="F1523">
        <v>4.88</v>
      </c>
      <c r="G1523">
        <v>5.75</v>
      </c>
      <c r="H1523">
        <v>6.38</v>
      </c>
      <c r="I1523">
        <v>6</v>
      </c>
      <c r="J1523">
        <v>4.84</v>
      </c>
      <c r="K1523">
        <v>0.5</v>
      </c>
    </row>
    <row r="1524" spans="1:11" x14ac:dyDescent="0.35">
      <c r="A1524" s="204">
        <v>35039</v>
      </c>
      <c r="B1524" s="544">
        <v>7.75</v>
      </c>
      <c r="C1524">
        <v>7.25</v>
      </c>
      <c r="D1524">
        <v>8</v>
      </c>
      <c r="E1524">
        <v>8.4499999999999993</v>
      </c>
      <c r="F1524">
        <v>4.88</v>
      </c>
      <c r="G1524">
        <v>5.75</v>
      </c>
      <c r="H1524">
        <v>6.38</v>
      </c>
      <c r="I1524">
        <v>6</v>
      </c>
      <c r="J1524">
        <v>4.8499999999999996</v>
      </c>
      <c r="K1524">
        <v>0.5</v>
      </c>
    </row>
    <row r="1525" spans="1:11" x14ac:dyDescent="0.35">
      <c r="A1525" s="204">
        <v>35046</v>
      </c>
      <c r="B1525" s="544">
        <v>7.75</v>
      </c>
      <c r="C1525">
        <v>7.25</v>
      </c>
      <c r="D1525">
        <v>8</v>
      </c>
      <c r="E1525">
        <v>8.4499999999999993</v>
      </c>
      <c r="F1525">
        <v>4.88</v>
      </c>
      <c r="G1525">
        <v>5.75</v>
      </c>
      <c r="H1525">
        <v>6.38</v>
      </c>
      <c r="I1525">
        <v>6</v>
      </c>
      <c r="J1525">
        <v>4.99</v>
      </c>
      <c r="K1525">
        <v>0.5</v>
      </c>
    </row>
    <row r="1526" spans="1:11" x14ac:dyDescent="0.35">
      <c r="A1526" s="204">
        <v>35053</v>
      </c>
      <c r="B1526" s="544">
        <v>7.5</v>
      </c>
      <c r="C1526">
        <v>7.25</v>
      </c>
      <c r="D1526">
        <v>8</v>
      </c>
      <c r="E1526">
        <v>8.4499999999999993</v>
      </c>
      <c r="F1526">
        <v>4.88</v>
      </c>
      <c r="G1526">
        <v>5.75</v>
      </c>
      <c r="H1526">
        <v>6.38</v>
      </c>
      <c r="I1526">
        <v>6</v>
      </c>
      <c r="J1526">
        <v>4.83</v>
      </c>
      <c r="K1526">
        <v>0.5</v>
      </c>
    </row>
    <row r="1527" spans="1:11" x14ac:dyDescent="0.35">
      <c r="A1527" s="204">
        <v>35060</v>
      </c>
      <c r="B1527" s="544">
        <v>7.5</v>
      </c>
      <c r="C1527">
        <v>7.25</v>
      </c>
      <c r="D1527">
        <v>8</v>
      </c>
      <c r="E1527">
        <v>8.4499999999999993</v>
      </c>
      <c r="F1527">
        <v>4.88</v>
      </c>
      <c r="G1527">
        <v>5.75</v>
      </c>
      <c r="H1527">
        <v>6.38</v>
      </c>
      <c r="I1527">
        <v>6</v>
      </c>
      <c r="J1527">
        <v>4.83</v>
      </c>
      <c r="K1527">
        <v>0.5</v>
      </c>
    </row>
    <row r="1528" spans="1:11" x14ac:dyDescent="0.35">
      <c r="A1528" s="204">
        <v>35067</v>
      </c>
      <c r="B1528" s="544">
        <v>7.5</v>
      </c>
      <c r="C1528">
        <v>7.25</v>
      </c>
      <c r="D1528">
        <v>8</v>
      </c>
      <c r="E1528">
        <v>8.4499999999999993</v>
      </c>
      <c r="F1528">
        <v>4.88</v>
      </c>
      <c r="G1528">
        <v>5.75</v>
      </c>
      <c r="H1528">
        <v>6.38</v>
      </c>
      <c r="I1528">
        <v>6</v>
      </c>
      <c r="J1528">
        <v>4.5599999999999996</v>
      </c>
      <c r="K1528">
        <v>0.5</v>
      </c>
    </row>
    <row r="1529" spans="1:11" x14ac:dyDescent="0.35">
      <c r="A1529" s="204">
        <v>35074</v>
      </c>
      <c r="B1529" s="544">
        <v>7.5</v>
      </c>
      <c r="C1529">
        <v>6.95</v>
      </c>
      <c r="D1529">
        <v>7.5</v>
      </c>
      <c r="E1529">
        <v>7.95</v>
      </c>
      <c r="F1529">
        <v>4.38</v>
      </c>
      <c r="G1529">
        <v>5</v>
      </c>
      <c r="H1529">
        <v>5.63</v>
      </c>
      <c r="I1529">
        <v>5.25</v>
      </c>
      <c r="J1529">
        <v>4.55</v>
      </c>
      <c r="K1529">
        <v>0.5</v>
      </c>
    </row>
    <row r="1530" spans="1:11" x14ac:dyDescent="0.35">
      <c r="A1530" s="204">
        <v>35081</v>
      </c>
      <c r="B1530" s="544">
        <v>7.5</v>
      </c>
      <c r="C1530">
        <v>6.95</v>
      </c>
      <c r="D1530">
        <v>7.5</v>
      </c>
      <c r="E1530">
        <v>7.95</v>
      </c>
      <c r="F1530">
        <v>4.38</v>
      </c>
      <c r="G1530">
        <v>5</v>
      </c>
      <c r="H1530">
        <v>5.63</v>
      </c>
      <c r="I1530">
        <v>5.25</v>
      </c>
      <c r="J1530">
        <v>4.5</v>
      </c>
      <c r="K1530">
        <v>0.5</v>
      </c>
    </row>
    <row r="1531" spans="1:11" x14ac:dyDescent="0.35">
      <c r="A1531" s="204">
        <v>35088</v>
      </c>
      <c r="B1531" s="544">
        <v>7.5</v>
      </c>
      <c r="C1531">
        <v>6.95</v>
      </c>
      <c r="D1531">
        <v>7.5</v>
      </c>
      <c r="E1531">
        <v>7.95</v>
      </c>
      <c r="F1531">
        <v>4.38</v>
      </c>
      <c r="G1531">
        <v>5</v>
      </c>
      <c r="H1531">
        <v>5.63</v>
      </c>
      <c r="I1531">
        <v>5.25</v>
      </c>
      <c r="J1531">
        <v>4.51</v>
      </c>
      <c r="K1531">
        <v>0.5</v>
      </c>
    </row>
    <row r="1532" spans="1:11" x14ac:dyDescent="0.35">
      <c r="A1532" s="204">
        <v>35095</v>
      </c>
      <c r="B1532" s="544">
        <v>7.25</v>
      </c>
      <c r="C1532">
        <v>6.75</v>
      </c>
      <c r="D1532">
        <v>7.25</v>
      </c>
      <c r="E1532">
        <v>7.8</v>
      </c>
      <c r="F1532">
        <v>4.13</v>
      </c>
      <c r="G1532">
        <v>4.88</v>
      </c>
      <c r="H1532">
        <v>5.5</v>
      </c>
      <c r="I1532">
        <v>5.13</v>
      </c>
      <c r="J1532">
        <v>4.1399999999999997</v>
      </c>
      <c r="K1532">
        <v>0.5</v>
      </c>
    </row>
    <row r="1533" spans="1:11" x14ac:dyDescent="0.35">
      <c r="A1533" s="204">
        <v>35102</v>
      </c>
      <c r="B1533" s="544">
        <v>7</v>
      </c>
      <c r="C1533">
        <v>6.75</v>
      </c>
      <c r="D1533">
        <v>7.25</v>
      </c>
      <c r="E1533">
        <v>7.8</v>
      </c>
      <c r="F1533">
        <v>4.13</v>
      </c>
      <c r="G1533">
        <v>4.88</v>
      </c>
      <c r="H1533">
        <v>5.5</v>
      </c>
      <c r="I1533">
        <v>5.13</v>
      </c>
      <c r="J1533">
        <v>4.16</v>
      </c>
      <c r="K1533">
        <v>0.5</v>
      </c>
    </row>
    <row r="1534" spans="1:11" x14ac:dyDescent="0.35">
      <c r="A1534" s="204">
        <v>35109</v>
      </c>
      <c r="B1534" s="544">
        <v>7</v>
      </c>
      <c r="C1534">
        <v>6.5</v>
      </c>
      <c r="D1534">
        <v>7.25</v>
      </c>
      <c r="E1534">
        <v>7.8</v>
      </c>
      <c r="F1534">
        <v>3.88</v>
      </c>
      <c r="G1534">
        <v>4.88</v>
      </c>
      <c r="H1534">
        <v>5.5</v>
      </c>
      <c r="I1534">
        <v>5.13</v>
      </c>
      <c r="J1534">
        <v>3.96</v>
      </c>
      <c r="K1534">
        <v>0.5</v>
      </c>
    </row>
    <row r="1535" spans="1:11" x14ac:dyDescent="0.35">
      <c r="A1535" s="204">
        <v>35116</v>
      </c>
      <c r="B1535" s="544">
        <v>7</v>
      </c>
      <c r="C1535">
        <v>6.5</v>
      </c>
      <c r="D1535">
        <v>7.25</v>
      </c>
      <c r="E1535">
        <v>7.8</v>
      </c>
      <c r="F1535">
        <v>3.88</v>
      </c>
      <c r="G1535">
        <v>4.88</v>
      </c>
      <c r="H1535">
        <v>5.5</v>
      </c>
      <c r="I1535">
        <v>5.13</v>
      </c>
      <c r="J1535">
        <v>4.18</v>
      </c>
      <c r="K1535">
        <v>0.5</v>
      </c>
    </row>
    <row r="1536" spans="1:11" x14ac:dyDescent="0.35">
      <c r="A1536" s="204">
        <v>35123</v>
      </c>
      <c r="B1536" s="544">
        <v>7</v>
      </c>
      <c r="C1536">
        <v>6.5</v>
      </c>
      <c r="D1536">
        <v>7.25</v>
      </c>
      <c r="E1536">
        <v>7.8</v>
      </c>
      <c r="F1536">
        <v>3.88</v>
      </c>
      <c r="G1536">
        <v>4.88</v>
      </c>
      <c r="H1536">
        <v>5.5</v>
      </c>
      <c r="I1536">
        <v>5.13</v>
      </c>
      <c r="J1536">
        <v>4.2</v>
      </c>
      <c r="K1536">
        <v>0.5</v>
      </c>
    </row>
    <row r="1537" spans="1:11" x14ac:dyDescent="0.35">
      <c r="A1537" s="204">
        <v>35130</v>
      </c>
      <c r="B1537" s="544">
        <v>7</v>
      </c>
      <c r="C1537">
        <v>6.5</v>
      </c>
      <c r="D1537">
        <v>7.25</v>
      </c>
      <c r="E1537">
        <v>7.8</v>
      </c>
      <c r="F1537">
        <v>3.88</v>
      </c>
      <c r="G1537">
        <v>4.88</v>
      </c>
      <c r="H1537">
        <v>5.5</v>
      </c>
      <c r="I1537">
        <v>5.13</v>
      </c>
      <c r="J1537">
        <v>4.13</v>
      </c>
      <c r="K1537">
        <v>0.5</v>
      </c>
    </row>
    <row r="1538" spans="1:11" x14ac:dyDescent="0.35">
      <c r="A1538" s="204">
        <v>35137</v>
      </c>
      <c r="B1538" s="544">
        <v>7</v>
      </c>
      <c r="C1538">
        <v>7</v>
      </c>
      <c r="D1538">
        <v>8</v>
      </c>
      <c r="E1538">
        <v>8.5</v>
      </c>
      <c r="F1538">
        <v>3.88</v>
      </c>
      <c r="G1538">
        <v>4.88</v>
      </c>
      <c r="H1538">
        <v>5.5</v>
      </c>
      <c r="I1538">
        <v>5.88</v>
      </c>
      <c r="J1538">
        <v>4.29</v>
      </c>
      <c r="K1538">
        <v>0.5</v>
      </c>
    </row>
    <row r="1539" spans="1:11" x14ac:dyDescent="0.35">
      <c r="A1539" s="204">
        <v>35144</v>
      </c>
      <c r="B1539" s="544">
        <v>7</v>
      </c>
      <c r="C1539">
        <v>7</v>
      </c>
      <c r="D1539">
        <v>8</v>
      </c>
      <c r="E1539">
        <v>8.5</v>
      </c>
      <c r="F1539">
        <v>4.38</v>
      </c>
      <c r="G1539">
        <v>5.63</v>
      </c>
      <c r="H1539">
        <v>6.25</v>
      </c>
      <c r="I1539">
        <v>5.88</v>
      </c>
      <c r="J1539">
        <v>4.0999999999999996</v>
      </c>
      <c r="K1539">
        <v>0.5</v>
      </c>
    </row>
    <row r="1540" spans="1:11" x14ac:dyDescent="0.35">
      <c r="A1540" s="204">
        <v>35151</v>
      </c>
      <c r="B1540" s="544">
        <v>6.75</v>
      </c>
      <c r="C1540">
        <v>7</v>
      </c>
      <c r="D1540">
        <v>8</v>
      </c>
      <c r="E1540">
        <v>8.5</v>
      </c>
      <c r="F1540">
        <v>4.38</v>
      </c>
      <c r="G1540">
        <v>5.63</v>
      </c>
      <c r="H1540">
        <v>6.25</v>
      </c>
      <c r="I1540">
        <v>5.88</v>
      </c>
      <c r="J1540">
        <v>4.05</v>
      </c>
      <c r="K1540">
        <v>0.5</v>
      </c>
    </row>
    <row r="1541" spans="1:11" x14ac:dyDescent="0.35">
      <c r="A1541" s="204">
        <v>35158</v>
      </c>
      <c r="B1541" s="544">
        <v>6.75</v>
      </c>
      <c r="C1541">
        <v>7</v>
      </c>
      <c r="D1541">
        <v>8</v>
      </c>
      <c r="E1541">
        <v>8.5</v>
      </c>
      <c r="F1541">
        <v>4.38</v>
      </c>
      <c r="G1541">
        <v>5.63</v>
      </c>
      <c r="H1541">
        <v>6.25</v>
      </c>
      <c r="I1541">
        <v>5.88</v>
      </c>
      <c r="J1541">
        <v>4.05</v>
      </c>
      <c r="K1541">
        <v>0.5</v>
      </c>
    </row>
    <row r="1542" spans="1:11" x14ac:dyDescent="0.35">
      <c r="A1542" s="204">
        <v>35165</v>
      </c>
      <c r="B1542" s="544">
        <v>6.75</v>
      </c>
      <c r="C1542">
        <v>7</v>
      </c>
      <c r="D1542">
        <v>8</v>
      </c>
      <c r="E1542">
        <v>8.5</v>
      </c>
      <c r="F1542">
        <v>4.38</v>
      </c>
      <c r="G1542">
        <v>5.63</v>
      </c>
      <c r="H1542">
        <v>6.25</v>
      </c>
      <c r="I1542">
        <v>5.88</v>
      </c>
      <c r="J1542">
        <v>4.17</v>
      </c>
      <c r="K1542">
        <v>0.5</v>
      </c>
    </row>
    <row r="1543" spans="1:11" x14ac:dyDescent="0.35">
      <c r="A1543" s="204">
        <v>35172</v>
      </c>
      <c r="B1543" s="544">
        <v>6.75</v>
      </c>
      <c r="C1543">
        <v>7</v>
      </c>
      <c r="D1543">
        <v>8</v>
      </c>
      <c r="E1543">
        <v>8.5</v>
      </c>
      <c r="F1543">
        <v>4.38</v>
      </c>
      <c r="G1543">
        <v>5.63</v>
      </c>
      <c r="H1543">
        <v>6.25</v>
      </c>
      <c r="I1543">
        <v>5.88</v>
      </c>
      <c r="J1543">
        <v>4.03</v>
      </c>
      <c r="K1543">
        <v>0.5</v>
      </c>
    </row>
    <row r="1544" spans="1:11" x14ac:dyDescent="0.35">
      <c r="A1544" s="204">
        <v>35179</v>
      </c>
      <c r="B1544" s="544">
        <v>6.5</v>
      </c>
      <c r="C1544">
        <v>6.5</v>
      </c>
      <c r="D1544">
        <v>8</v>
      </c>
      <c r="E1544">
        <v>8.5</v>
      </c>
      <c r="F1544">
        <v>3.88</v>
      </c>
      <c r="G1544">
        <v>5.63</v>
      </c>
      <c r="H1544">
        <v>6.25</v>
      </c>
      <c r="I1544">
        <v>5.88</v>
      </c>
      <c r="J1544">
        <v>3.78</v>
      </c>
      <c r="K1544">
        <v>0.5</v>
      </c>
    </row>
    <row r="1545" spans="1:11" x14ac:dyDescent="0.35">
      <c r="A1545" s="204">
        <v>35186</v>
      </c>
      <c r="B1545" s="544">
        <v>6.5</v>
      </c>
      <c r="C1545">
        <v>6.5</v>
      </c>
      <c r="D1545">
        <v>8</v>
      </c>
      <c r="E1545">
        <v>8.5</v>
      </c>
      <c r="F1545">
        <v>3.88</v>
      </c>
      <c r="G1545">
        <v>5.63</v>
      </c>
      <c r="H1545">
        <v>6.25</v>
      </c>
      <c r="I1545">
        <v>5.88</v>
      </c>
      <c r="J1545">
        <v>3.78</v>
      </c>
      <c r="K1545">
        <v>0.5</v>
      </c>
    </row>
    <row r="1546" spans="1:11" x14ac:dyDescent="0.35">
      <c r="A1546" s="204">
        <v>35193</v>
      </c>
      <c r="B1546" s="544">
        <v>6.5</v>
      </c>
      <c r="C1546">
        <v>6.5</v>
      </c>
      <c r="D1546">
        <v>8</v>
      </c>
      <c r="E1546">
        <v>8.5</v>
      </c>
      <c r="F1546">
        <v>3.88</v>
      </c>
      <c r="G1546">
        <v>5.63</v>
      </c>
      <c r="H1546">
        <v>6.25</v>
      </c>
      <c r="I1546">
        <v>5.88</v>
      </c>
      <c r="J1546">
        <v>3.78</v>
      </c>
      <c r="K1546">
        <v>0.5</v>
      </c>
    </row>
    <row r="1547" spans="1:11" x14ac:dyDescent="0.35">
      <c r="A1547" s="204">
        <v>35200</v>
      </c>
      <c r="B1547" s="544">
        <v>6.5</v>
      </c>
      <c r="C1547">
        <v>6.5</v>
      </c>
      <c r="D1547">
        <v>8</v>
      </c>
      <c r="E1547">
        <v>8.5</v>
      </c>
      <c r="F1547">
        <v>3.88</v>
      </c>
      <c r="G1547">
        <v>5.63</v>
      </c>
      <c r="H1547">
        <v>6.25</v>
      </c>
      <c r="I1547">
        <v>5.88</v>
      </c>
      <c r="J1547">
        <v>3.75</v>
      </c>
      <c r="K1547">
        <v>0.5</v>
      </c>
    </row>
    <row r="1548" spans="1:11" x14ac:dyDescent="0.35">
      <c r="A1548" s="204">
        <v>35207</v>
      </c>
      <c r="B1548" s="544">
        <v>6.5</v>
      </c>
      <c r="C1548">
        <v>6.5</v>
      </c>
      <c r="D1548">
        <v>8</v>
      </c>
      <c r="E1548">
        <v>8.5</v>
      </c>
      <c r="F1548">
        <v>3.88</v>
      </c>
      <c r="G1548">
        <v>5.63</v>
      </c>
      <c r="H1548">
        <v>6.25</v>
      </c>
      <c r="I1548">
        <v>5.88</v>
      </c>
      <c r="J1548">
        <v>3.66</v>
      </c>
      <c r="K1548">
        <v>0.5</v>
      </c>
    </row>
    <row r="1549" spans="1:11" x14ac:dyDescent="0.35">
      <c r="A1549" s="204">
        <v>35214</v>
      </c>
      <c r="B1549" s="544">
        <v>6.5</v>
      </c>
      <c r="C1549">
        <v>6.5</v>
      </c>
      <c r="D1549">
        <v>8</v>
      </c>
      <c r="E1549">
        <v>8.5</v>
      </c>
      <c r="F1549">
        <v>3.88</v>
      </c>
      <c r="G1549">
        <v>5.63</v>
      </c>
      <c r="H1549">
        <v>6.25</v>
      </c>
      <c r="I1549">
        <v>5.88</v>
      </c>
      <c r="J1549">
        <v>3.66</v>
      </c>
      <c r="K1549">
        <v>0.5</v>
      </c>
    </row>
    <row r="1550" spans="1:11" x14ac:dyDescent="0.35">
      <c r="A1550" s="204">
        <v>35221</v>
      </c>
      <c r="B1550" s="544">
        <v>6.5</v>
      </c>
      <c r="C1550">
        <v>6.5</v>
      </c>
      <c r="D1550">
        <v>8</v>
      </c>
      <c r="E1550">
        <v>8.5</v>
      </c>
      <c r="F1550">
        <v>3.88</v>
      </c>
      <c r="G1550">
        <v>5.63</v>
      </c>
      <c r="H1550">
        <v>6.25</v>
      </c>
      <c r="I1550">
        <v>5.88</v>
      </c>
      <c r="J1550">
        <v>3.7</v>
      </c>
      <c r="K1550">
        <v>0.5</v>
      </c>
    </row>
    <row r="1551" spans="1:11" x14ac:dyDescent="0.35">
      <c r="A1551" s="204">
        <v>35228</v>
      </c>
      <c r="B1551" s="544">
        <v>6.5</v>
      </c>
      <c r="C1551">
        <v>6.5</v>
      </c>
      <c r="D1551">
        <v>8</v>
      </c>
      <c r="E1551">
        <v>8.5</v>
      </c>
      <c r="F1551">
        <v>3.88</v>
      </c>
      <c r="G1551">
        <v>5.63</v>
      </c>
      <c r="H1551">
        <v>6.25</v>
      </c>
      <c r="I1551">
        <v>5.88</v>
      </c>
      <c r="J1551">
        <v>3.71</v>
      </c>
      <c r="K1551">
        <v>0.5</v>
      </c>
    </row>
    <row r="1552" spans="1:11" x14ac:dyDescent="0.35">
      <c r="A1552" s="204">
        <v>35235</v>
      </c>
      <c r="B1552" s="544">
        <v>6.5</v>
      </c>
      <c r="C1552">
        <v>6.5</v>
      </c>
      <c r="D1552">
        <v>8</v>
      </c>
      <c r="E1552">
        <v>8.5</v>
      </c>
      <c r="F1552">
        <v>3.88</v>
      </c>
      <c r="G1552">
        <v>5.63</v>
      </c>
      <c r="H1552">
        <v>6.25</v>
      </c>
      <c r="I1552">
        <v>5.88</v>
      </c>
      <c r="J1552">
        <v>3.76</v>
      </c>
      <c r="K1552">
        <v>0.5</v>
      </c>
    </row>
    <row r="1553" spans="1:11" x14ac:dyDescent="0.35">
      <c r="A1553" s="204">
        <v>35242</v>
      </c>
      <c r="B1553" s="544">
        <v>6.5</v>
      </c>
      <c r="C1553">
        <v>6.5</v>
      </c>
      <c r="D1553">
        <v>8</v>
      </c>
      <c r="E1553">
        <v>8.5</v>
      </c>
      <c r="F1553">
        <v>3.88</v>
      </c>
      <c r="G1553">
        <v>5.63</v>
      </c>
      <c r="H1553">
        <v>6.25</v>
      </c>
      <c r="I1553">
        <v>5.88</v>
      </c>
      <c r="J1553">
        <v>3.72</v>
      </c>
      <c r="K1553">
        <v>0.5</v>
      </c>
    </row>
    <row r="1554" spans="1:11" x14ac:dyDescent="0.35">
      <c r="A1554" s="204">
        <v>35249</v>
      </c>
      <c r="B1554" s="544">
        <v>6.5</v>
      </c>
      <c r="C1554">
        <v>6.5</v>
      </c>
      <c r="D1554">
        <v>8</v>
      </c>
      <c r="E1554">
        <v>8.5</v>
      </c>
      <c r="F1554">
        <v>3.88</v>
      </c>
      <c r="G1554">
        <v>5.63</v>
      </c>
      <c r="H1554">
        <v>6.25</v>
      </c>
      <c r="I1554">
        <v>5.88</v>
      </c>
      <c r="J1554">
        <v>3.73</v>
      </c>
      <c r="K1554">
        <v>0.5</v>
      </c>
    </row>
    <row r="1555" spans="1:11" x14ac:dyDescent="0.35">
      <c r="A1555" s="204">
        <v>35256</v>
      </c>
      <c r="B1555" s="544">
        <v>6.5</v>
      </c>
      <c r="C1555">
        <v>6.5</v>
      </c>
      <c r="D1555">
        <v>8</v>
      </c>
      <c r="E1555">
        <v>8.5</v>
      </c>
      <c r="F1555">
        <v>3.88</v>
      </c>
      <c r="G1555">
        <v>5.63</v>
      </c>
      <c r="H1555">
        <v>6.25</v>
      </c>
      <c r="I1555">
        <v>5.88</v>
      </c>
      <c r="J1555">
        <v>3.72</v>
      </c>
      <c r="K1555">
        <v>0.5</v>
      </c>
    </row>
    <row r="1556" spans="1:11" x14ac:dyDescent="0.35">
      <c r="A1556" s="204">
        <v>35263</v>
      </c>
      <c r="B1556" s="544">
        <v>6.5</v>
      </c>
      <c r="C1556">
        <v>6.5</v>
      </c>
      <c r="D1556">
        <v>8</v>
      </c>
      <c r="E1556">
        <v>8.5</v>
      </c>
      <c r="F1556">
        <v>3.88</v>
      </c>
      <c r="G1556">
        <v>5.63</v>
      </c>
      <c r="H1556">
        <v>6.25</v>
      </c>
      <c r="I1556">
        <v>5.88</v>
      </c>
      <c r="J1556">
        <v>3.69</v>
      </c>
      <c r="K1556">
        <v>0.5</v>
      </c>
    </row>
    <row r="1557" spans="1:11" x14ac:dyDescent="0.35">
      <c r="A1557" s="204">
        <v>35270</v>
      </c>
      <c r="B1557" s="544">
        <v>6.25</v>
      </c>
      <c r="C1557">
        <v>6.5</v>
      </c>
      <c r="D1557">
        <v>8</v>
      </c>
      <c r="E1557">
        <v>8.5</v>
      </c>
      <c r="F1557">
        <v>3.88</v>
      </c>
      <c r="G1557">
        <v>5.63</v>
      </c>
      <c r="H1557">
        <v>6.25</v>
      </c>
      <c r="I1557">
        <v>5.88</v>
      </c>
      <c r="J1557">
        <v>3.48</v>
      </c>
      <c r="K1557">
        <v>0.5</v>
      </c>
    </row>
    <row r="1558" spans="1:11" x14ac:dyDescent="0.35">
      <c r="A1558" s="204">
        <v>35277</v>
      </c>
      <c r="B1558" s="544">
        <v>6.25</v>
      </c>
      <c r="C1558">
        <v>6.5</v>
      </c>
      <c r="D1558">
        <v>8</v>
      </c>
      <c r="E1558">
        <v>8.5</v>
      </c>
      <c r="F1558">
        <v>3.88</v>
      </c>
      <c r="G1558">
        <v>5.63</v>
      </c>
      <c r="H1558">
        <v>6.25</v>
      </c>
      <c r="I1558">
        <v>5.88</v>
      </c>
      <c r="J1558">
        <v>3.45</v>
      </c>
      <c r="K1558">
        <v>0.5</v>
      </c>
    </row>
    <row r="1559" spans="1:11" x14ac:dyDescent="0.35">
      <c r="A1559" s="204">
        <v>35284</v>
      </c>
      <c r="B1559" s="544">
        <v>6.25</v>
      </c>
      <c r="C1559">
        <v>6.13</v>
      </c>
      <c r="D1559">
        <v>7.5</v>
      </c>
      <c r="E1559">
        <v>8.1</v>
      </c>
      <c r="F1559">
        <v>3.5</v>
      </c>
      <c r="G1559">
        <v>5.13</v>
      </c>
      <c r="H1559">
        <v>5.88</v>
      </c>
      <c r="I1559">
        <v>5.5</v>
      </c>
      <c r="J1559">
        <v>3.24</v>
      </c>
      <c r="K1559">
        <v>0.5</v>
      </c>
    </row>
    <row r="1560" spans="1:11" x14ac:dyDescent="0.35">
      <c r="A1560" s="204">
        <v>35291</v>
      </c>
      <c r="B1560" s="544">
        <v>6</v>
      </c>
      <c r="C1560">
        <v>6.13</v>
      </c>
      <c r="D1560">
        <v>7.38</v>
      </c>
      <c r="E1560">
        <v>7.95</v>
      </c>
      <c r="F1560">
        <v>3.5</v>
      </c>
      <c r="G1560">
        <v>5</v>
      </c>
      <c r="H1560">
        <v>5.88</v>
      </c>
      <c r="I1560">
        <v>5.5</v>
      </c>
      <c r="J1560">
        <v>3.19</v>
      </c>
      <c r="K1560">
        <v>0.5</v>
      </c>
    </row>
    <row r="1561" spans="1:11" x14ac:dyDescent="0.35">
      <c r="A1561" s="204">
        <v>35298</v>
      </c>
      <c r="B1561" s="544">
        <v>6</v>
      </c>
      <c r="C1561">
        <v>6.13</v>
      </c>
      <c r="D1561">
        <v>7.38</v>
      </c>
      <c r="E1561">
        <v>7.95</v>
      </c>
      <c r="F1561">
        <v>3.5</v>
      </c>
      <c r="G1561">
        <v>5</v>
      </c>
      <c r="H1561">
        <v>5.88</v>
      </c>
      <c r="I1561">
        <v>5.5</v>
      </c>
      <c r="J1561">
        <v>3.05</v>
      </c>
      <c r="K1561">
        <v>0.5</v>
      </c>
    </row>
    <row r="1562" spans="1:11" x14ac:dyDescent="0.35">
      <c r="A1562" s="204">
        <v>35305</v>
      </c>
      <c r="B1562" s="544">
        <v>5.75</v>
      </c>
      <c r="C1562">
        <v>6.13</v>
      </c>
      <c r="D1562">
        <v>7.38</v>
      </c>
      <c r="E1562">
        <v>7.95</v>
      </c>
      <c r="F1562">
        <v>3.5</v>
      </c>
      <c r="G1562">
        <v>5</v>
      </c>
      <c r="H1562">
        <v>5.88</v>
      </c>
      <c r="I1562">
        <v>5.5</v>
      </c>
      <c r="J1562">
        <v>3.05</v>
      </c>
      <c r="K1562">
        <v>0.5</v>
      </c>
    </row>
    <row r="1563" spans="1:11" x14ac:dyDescent="0.35">
      <c r="A1563" s="204">
        <v>35312</v>
      </c>
      <c r="B1563" s="544">
        <v>5.75</v>
      </c>
      <c r="C1563">
        <v>6.13</v>
      </c>
      <c r="D1563">
        <v>7.38</v>
      </c>
      <c r="E1563">
        <v>7.95</v>
      </c>
      <c r="F1563">
        <v>3.5</v>
      </c>
      <c r="G1563">
        <v>5</v>
      </c>
      <c r="H1563">
        <v>5.88</v>
      </c>
      <c r="I1563">
        <v>5.5</v>
      </c>
      <c r="J1563">
        <v>3.11</v>
      </c>
      <c r="K1563">
        <v>0.5</v>
      </c>
    </row>
    <row r="1564" spans="1:11" x14ac:dyDescent="0.35">
      <c r="A1564" s="204">
        <v>35319</v>
      </c>
      <c r="B1564" s="544">
        <v>5.75</v>
      </c>
      <c r="C1564">
        <v>6.13</v>
      </c>
      <c r="D1564">
        <v>7.38</v>
      </c>
      <c r="E1564">
        <v>7.95</v>
      </c>
      <c r="F1564">
        <v>3.5</v>
      </c>
      <c r="G1564">
        <v>5</v>
      </c>
      <c r="H1564">
        <v>5.88</v>
      </c>
      <c r="I1564">
        <v>5.5</v>
      </c>
      <c r="J1564">
        <v>2.98</v>
      </c>
      <c r="K1564">
        <v>0.5</v>
      </c>
    </row>
    <row r="1565" spans="1:11" x14ac:dyDescent="0.35">
      <c r="A1565" s="204">
        <v>35326</v>
      </c>
      <c r="B1565" s="544">
        <v>5.75</v>
      </c>
      <c r="C1565">
        <v>6.13</v>
      </c>
      <c r="D1565">
        <v>7.38</v>
      </c>
      <c r="E1565">
        <v>7.95</v>
      </c>
      <c r="F1565">
        <v>3.5</v>
      </c>
      <c r="G1565">
        <v>5</v>
      </c>
      <c r="H1565">
        <v>5.88</v>
      </c>
      <c r="I1565">
        <v>5.5</v>
      </c>
      <c r="J1565">
        <v>2.78</v>
      </c>
      <c r="K1565">
        <v>0.5</v>
      </c>
    </row>
    <row r="1566" spans="1:11" x14ac:dyDescent="0.35">
      <c r="A1566" s="204">
        <v>35333</v>
      </c>
      <c r="B1566" s="544">
        <v>5.75</v>
      </c>
      <c r="C1566">
        <v>6.13</v>
      </c>
      <c r="D1566">
        <v>7.38</v>
      </c>
      <c r="E1566">
        <v>7.95</v>
      </c>
      <c r="F1566">
        <v>3.5</v>
      </c>
      <c r="G1566">
        <v>5</v>
      </c>
      <c r="H1566">
        <v>5.88</v>
      </c>
      <c r="I1566">
        <v>5.5</v>
      </c>
      <c r="J1566">
        <v>2.98</v>
      </c>
      <c r="K1566">
        <v>0.5</v>
      </c>
    </row>
    <row r="1567" spans="1:11" x14ac:dyDescent="0.35">
      <c r="A1567" s="204">
        <v>35340</v>
      </c>
      <c r="B1567" s="544">
        <v>5.75</v>
      </c>
      <c r="C1567">
        <v>5.95</v>
      </c>
      <c r="D1567">
        <v>7.13</v>
      </c>
      <c r="E1567">
        <v>7.9</v>
      </c>
      <c r="F1567">
        <v>3.38</v>
      </c>
      <c r="G1567">
        <v>4.75</v>
      </c>
      <c r="H1567">
        <v>5.88</v>
      </c>
      <c r="I1567">
        <v>5.75</v>
      </c>
      <c r="J1567">
        <v>2.73</v>
      </c>
      <c r="K1567">
        <v>0.5</v>
      </c>
    </row>
    <row r="1568" spans="1:11" x14ac:dyDescent="0.35">
      <c r="A1568" s="204">
        <v>35347</v>
      </c>
      <c r="B1568" s="544">
        <v>5.5</v>
      </c>
      <c r="C1568">
        <v>5.7</v>
      </c>
      <c r="D1568">
        <v>6.85</v>
      </c>
      <c r="E1568">
        <v>7.65</v>
      </c>
      <c r="F1568">
        <v>3.13</v>
      </c>
      <c r="G1568">
        <v>4.38</v>
      </c>
      <c r="H1568">
        <v>5.38</v>
      </c>
      <c r="I1568">
        <v>5.25</v>
      </c>
      <c r="J1568">
        <v>2.4900000000000002</v>
      </c>
      <c r="K1568">
        <v>0.5</v>
      </c>
    </row>
    <row r="1569" spans="1:11" x14ac:dyDescent="0.35">
      <c r="A1569" s="204">
        <v>35354</v>
      </c>
      <c r="B1569" s="544">
        <v>5.5</v>
      </c>
      <c r="C1569">
        <v>5.6</v>
      </c>
      <c r="D1569">
        <v>6.6</v>
      </c>
      <c r="E1569">
        <v>7.4</v>
      </c>
      <c r="F1569">
        <v>2.88</v>
      </c>
      <c r="G1569">
        <v>4.13</v>
      </c>
      <c r="H1569">
        <v>5.13</v>
      </c>
      <c r="I1569">
        <v>5</v>
      </c>
      <c r="J1569">
        <v>2.36</v>
      </c>
      <c r="K1569">
        <v>0.5</v>
      </c>
    </row>
    <row r="1570" spans="1:11" x14ac:dyDescent="0.35">
      <c r="A1570" s="204">
        <v>35361</v>
      </c>
      <c r="B1570" s="544">
        <v>5.25</v>
      </c>
      <c r="C1570">
        <v>5.6</v>
      </c>
      <c r="D1570">
        <v>6.6</v>
      </c>
      <c r="E1570">
        <v>7.4</v>
      </c>
      <c r="F1570">
        <v>2.88</v>
      </c>
      <c r="G1570">
        <v>4.13</v>
      </c>
      <c r="H1570">
        <v>5.13</v>
      </c>
      <c r="I1570">
        <v>5</v>
      </c>
      <c r="J1570">
        <v>2.1800000000000002</v>
      </c>
      <c r="K1570">
        <v>0.5</v>
      </c>
    </row>
    <row r="1571" spans="1:11" x14ac:dyDescent="0.35">
      <c r="A1571" s="204">
        <v>35368</v>
      </c>
      <c r="B1571" s="544">
        <v>5</v>
      </c>
      <c r="C1571">
        <v>5.35</v>
      </c>
      <c r="D1571">
        <v>6.35</v>
      </c>
      <c r="E1571">
        <v>7.2</v>
      </c>
      <c r="F1571">
        <v>2.63</v>
      </c>
      <c r="G1571">
        <v>3.88</v>
      </c>
      <c r="H1571">
        <v>4.88</v>
      </c>
      <c r="I1571">
        <v>4.75</v>
      </c>
      <c r="J1571">
        <v>2.1800000000000002</v>
      </c>
      <c r="K1571">
        <v>0.5</v>
      </c>
    </row>
    <row r="1572" spans="1:11" x14ac:dyDescent="0.35">
      <c r="A1572" s="204">
        <v>35375</v>
      </c>
      <c r="B1572" s="544">
        <v>5</v>
      </c>
      <c r="C1572">
        <v>5.35</v>
      </c>
      <c r="D1572">
        <v>6.35</v>
      </c>
      <c r="E1572">
        <v>7.2</v>
      </c>
      <c r="F1572">
        <v>2.63</v>
      </c>
      <c r="G1572">
        <v>3.88</v>
      </c>
      <c r="H1572">
        <v>4.88</v>
      </c>
      <c r="I1572">
        <v>4.75</v>
      </c>
      <c r="J1572">
        <v>1.93</v>
      </c>
      <c r="K1572">
        <v>0.5</v>
      </c>
    </row>
    <row r="1573" spans="1:11" x14ac:dyDescent="0.35">
      <c r="A1573" s="204">
        <v>35382</v>
      </c>
      <c r="B1573" s="544">
        <v>4.75</v>
      </c>
      <c r="C1573">
        <v>5.2</v>
      </c>
      <c r="D1573">
        <v>6.2</v>
      </c>
      <c r="E1573">
        <v>6.95</v>
      </c>
      <c r="F1573">
        <v>2.38</v>
      </c>
      <c r="G1573">
        <v>3.63</v>
      </c>
      <c r="H1573">
        <v>4.38</v>
      </c>
      <c r="I1573">
        <v>4.25</v>
      </c>
      <c r="J1573">
        <v>1.93</v>
      </c>
      <c r="K1573">
        <v>0.5</v>
      </c>
    </row>
    <row r="1574" spans="1:11" x14ac:dyDescent="0.35">
      <c r="A1574" s="204">
        <v>35389</v>
      </c>
      <c r="B1574" s="544">
        <v>4.75</v>
      </c>
      <c r="C1574">
        <v>5.2</v>
      </c>
      <c r="D1574">
        <v>6.2</v>
      </c>
      <c r="E1574">
        <v>6.95</v>
      </c>
      <c r="F1574">
        <v>2.38</v>
      </c>
      <c r="G1574">
        <v>3.63</v>
      </c>
      <c r="H1574">
        <v>4.38</v>
      </c>
      <c r="I1574">
        <v>4.25</v>
      </c>
      <c r="J1574">
        <v>1.91</v>
      </c>
      <c r="K1574">
        <v>0.5</v>
      </c>
    </row>
    <row r="1575" spans="1:11" x14ac:dyDescent="0.35">
      <c r="A1575" s="204">
        <v>35396</v>
      </c>
      <c r="B1575" s="544">
        <v>4.75</v>
      </c>
      <c r="C1575">
        <v>5.2</v>
      </c>
      <c r="D1575">
        <v>6.2</v>
      </c>
      <c r="E1575">
        <v>6.95</v>
      </c>
      <c r="F1575">
        <v>2.38</v>
      </c>
      <c r="G1575">
        <v>3.63</v>
      </c>
      <c r="H1575">
        <v>4.38</v>
      </c>
      <c r="I1575">
        <v>4.25</v>
      </c>
      <c r="J1575">
        <v>1.71</v>
      </c>
      <c r="K1575">
        <v>0.5</v>
      </c>
    </row>
    <row r="1576" spans="1:11" x14ac:dyDescent="0.35">
      <c r="A1576" s="204">
        <v>35403</v>
      </c>
      <c r="B1576" s="544">
        <v>4.75</v>
      </c>
      <c r="C1576">
        <v>5.2</v>
      </c>
      <c r="D1576">
        <v>6.2</v>
      </c>
      <c r="E1576">
        <v>6.95</v>
      </c>
      <c r="F1576">
        <v>2.38</v>
      </c>
      <c r="G1576">
        <v>3.63</v>
      </c>
      <c r="H1576">
        <v>4.38</v>
      </c>
      <c r="I1576">
        <v>4.25</v>
      </c>
      <c r="J1576">
        <v>1.75</v>
      </c>
      <c r="K1576">
        <v>0.5</v>
      </c>
    </row>
    <row r="1577" spans="1:11" x14ac:dyDescent="0.35">
      <c r="A1577" s="204">
        <v>35410</v>
      </c>
      <c r="B1577" s="544">
        <v>4.75</v>
      </c>
      <c r="C1577">
        <v>5.2</v>
      </c>
      <c r="D1577">
        <v>6.2</v>
      </c>
      <c r="E1577">
        <v>6.95</v>
      </c>
      <c r="F1577">
        <v>2.38</v>
      </c>
      <c r="G1577">
        <v>3.63</v>
      </c>
      <c r="H1577">
        <v>4.38</v>
      </c>
      <c r="I1577">
        <v>4.25</v>
      </c>
      <c r="J1577">
        <v>1.88</v>
      </c>
      <c r="K1577">
        <v>0.5</v>
      </c>
    </row>
    <row r="1578" spans="1:11" x14ac:dyDescent="0.35">
      <c r="A1578" s="204">
        <v>35417</v>
      </c>
      <c r="B1578" s="544">
        <v>4.75</v>
      </c>
      <c r="C1578">
        <v>5.2</v>
      </c>
      <c r="D1578">
        <v>6.2</v>
      </c>
      <c r="E1578">
        <v>6.95</v>
      </c>
      <c r="F1578">
        <v>2.38</v>
      </c>
      <c r="G1578">
        <v>3.63</v>
      </c>
      <c r="H1578">
        <v>4.38</v>
      </c>
      <c r="I1578">
        <v>4.25</v>
      </c>
      <c r="J1578">
        <v>2.06</v>
      </c>
      <c r="K1578">
        <v>0.5</v>
      </c>
    </row>
    <row r="1579" spans="1:11" x14ac:dyDescent="0.35">
      <c r="A1579" s="204">
        <v>35424</v>
      </c>
      <c r="B1579" s="544">
        <v>4.75</v>
      </c>
      <c r="C1579">
        <v>5.2</v>
      </c>
      <c r="D1579">
        <v>6.2</v>
      </c>
      <c r="E1579">
        <v>6.95</v>
      </c>
      <c r="F1579">
        <v>2.38</v>
      </c>
      <c r="G1579">
        <v>3.63</v>
      </c>
      <c r="H1579">
        <v>4.38</v>
      </c>
      <c r="I1579">
        <v>4.25</v>
      </c>
      <c r="J1579">
        <v>1.9</v>
      </c>
      <c r="K1579">
        <v>0.5</v>
      </c>
    </row>
    <row r="1580" spans="1:11" x14ac:dyDescent="0.35">
      <c r="A1580" s="204">
        <v>35431</v>
      </c>
      <c r="B1580" s="544">
        <v>4.75</v>
      </c>
      <c r="C1580">
        <v>5.2</v>
      </c>
      <c r="D1580">
        <v>6.2</v>
      </c>
      <c r="E1580">
        <v>6.95</v>
      </c>
      <c r="F1580">
        <v>2.38</v>
      </c>
      <c r="G1580">
        <v>3.63</v>
      </c>
      <c r="H1580">
        <v>4.38</v>
      </c>
      <c r="I1580">
        <v>4.25</v>
      </c>
      <c r="J1580">
        <v>1.82</v>
      </c>
      <c r="K1580">
        <v>0.5</v>
      </c>
    </row>
    <row r="1581" spans="1:11" x14ac:dyDescent="0.35">
      <c r="A1581" s="204">
        <v>35438</v>
      </c>
      <c r="B1581" s="544">
        <v>4.75</v>
      </c>
      <c r="C1581">
        <v>5.2</v>
      </c>
      <c r="D1581">
        <v>6.2</v>
      </c>
      <c r="E1581">
        <v>6.95</v>
      </c>
      <c r="F1581">
        <v>2.38</v>
      </c>
      <c r="G1581">
        <v>3.63</v>
      </c>
      <c r="H1581">
        <v>4.38</v>
      </c>
      <c r="I1581">
        <v>4.25</v>
      </c>
      <c r="J1581">
        <v>1.87</v>
      </c>
      <c r="K1581">
        <v>0.5</v>
      </c>
    </row>
    <row r="1582" spans="1:11" x14ac:dyDescent="0.35">
      <c r="A1582" s="204">
        <v>35445</v>
      </c>
      <c r="B1582" s="544">
        <v>4.75</v>
      </c>
      <c r="C1582">
        <v>5.2</v>
      </c>
      <c r="D1582">
        <v>6.5</v>
      </c>
      <c r="E1582">
        <v>7.25</v>
      </c>
      <c r="F1582">
        <v>2.38</v>
      </c>
      <c r="G1582">
        <v>3.88</v>
      </c>
      <c r="H1582">
        <v>4.88</v>
      </c>
      <c r="I1582">
        <v>4.75</v>
      </c>
      <c r="J1582">
        <v>1.87</v>
      </c>
      <c r="K1582">
        <v>0.5</v>
      </c>
    </row>
    <row r="1583" spans="1:11" x14ac:dyDescent="0.35">
      <c r="A1583" s="204">
        <v>35452</v>
      </c>
      <c r="B1583" s="544">
        <v>4.75</v>
      </c>
      <c r="C1583">
        <v>5.2</v>
      </c>
      <c r="D1583">
        <v>6.5</v>
      </c>
      <c r="E1583">
        <v>7.25</v>
      </c>
      <c r="F1583">
        <v>2.38</v>
      </c>
      <c r="G1583">
        <v>3.88</v>
      </c>
      <c r="H1583">
        <v>4.88</v>
      </c>
      <c r="I1583">
        <v>4.75</v>
      </c>
      <c r="J1583">
        <v>1.82</v>
      </c>
      <c r="K1583">
        <v>0.5</v>
      </c>
    </row>
    <row r="1584" spans="1:11" x14ac:dyDescent="0.35">
      <c r="A1584" s="204">
        <v>35459</v>
      </c>
      <c r="B1584" s="544">
        <v>4.75</v>
      </c>
      <c r="C1584">
        <v>5.2</v>
      </c>
      <c r="D1584">
        <v>6.5</v>
      </c>
      <c r="E1584">
        <v>7.25</v>
      </c>
      <c r="F1584">
        <v>2.38</v>
      </c>
      <c r="G1584">
        <v>3.88</v>
      </c>
      <c r="H1584">
        <v>4.88</v>
      </c>
      <c r="I1584">
        <v>4.75</v>
      </c>
      <c r="J1584">
        <v>1.86</v>
      </c>
      <c r="K1584">
        <v>0.5</v>
      </c>
    </row>
    <row r="1585" spans="1:11" x14ac:dyDescent="0.35">
      <c r="A1585" s="204">
        <v>35466</v>
      </c>
      <c r="B1585" s="544">
        <v>4.75</v>
      </c>
      <c r="C1585">
        <v>5.2</v>
      </c>
      <c r="D1585">
        <v>6.5</v>
      </c>
      <c r="E1585">
        <v>7.25</v>
      </c>
      <c r="F1585">
        <v>2.38</v>
      </c>
      <c r="G1585">
        <v>3.88</v>
      </c>
      <c r="H1585">
        <v>4.88</v>
      </c>
      <c r="I1585">
        <v>4.75</v>
      </c>
      <c r="J1585">
        <v>1.88</v>
      </c>
      <c r="K1585">
        <v>0.5</v>
      </c>
    </row>
    <row r="1586" spans="1:11" x14ac:dyDescent="0.35">
      <c r="A1586" s="204">
        <v>35473</v>
      </c>
      <c r="B1586" s="544">
        <v>4.75</v>
      </c>
      <c r="C1586">
        <v>5.2</v>
      </c>
      <c r="D1586">
        <v>6.5</v>
      </c>
      <c r="E1586">
        <v>7.25</v>
      </c>
      <c r="F1586">
        <v>2.38</v>
      </c>
      <c r="G1586">
        <v>3.88</v>
      </c>
      <c r="H1586">
        <v>4.88</v>
      </c>
      <c r="I1586">
        <v>4.75</v>
      </c>
      <c r="J1586">
        <v>1.86</v>
      </c>
      <c r="K1586">
        <v>0.5</v>
      </c>
    </row>
    <row r="1587" spans="1:11" x14ac:dyDescent="0.35">
      <c r="A1587" s="204">
        <v>35480</v>
      </c>
      <c r="B1587" s="544">
        <v>4.75</v>
      </c>
      <c r="C1587">
        <v>5.05</v>
      </c>
      <c r="D1587">
        <v>6.25</v>
      </c>
      <c r="E1587">
        <v>7</v>
      </c>
      <c r="F1587">
        <v>2.38</v>
      </c>
      <c r="G1587">
        <v>3.88</v>
      </c>
      <c r="H1587">
        <v>4.88</v>
      </c>
      <c r="I1587">
        <v>4.75</v>
      </c>
      <c r="J1587">
        <v>1.9</v>
      </c>
      <c r="K1587">
        <v>0.5</v>
      </c>
    </row>
    <row r="1588" spans="1:11" x14ac:dyDescent="0.35">
      <c r="A1588" s="204">
        <v>35487</v>
      </c>
      <c r="B1588" s="544">
        <v>4.75</v>
      </c>
      <c r="C1588">
        <v>5.05</v>
      </c>
      <c r="D1588">
        <v>6.25</v>
      </c>
      <c r="E1588">
        <v>7</v>
      </c>
      <c r="F1588">
        <v>2.38</v>
      </c>
      <c r="G1588">
        <v>3.88</v>
      </c>
      <c r="H1588">
        <v>4.88</v>
      </c>
      <c r="I1588">
        <v>4.75</v>
      </c>
      <c r="J1588">
        <v>1.88</v>
      </c>
      <c r="K1588">
        <v>0.5</v>
      </c>
    </row>
    <row r="1589" spans="1:11" x14ac:dyDescent="0.35">
      <c r="A1589" s="204">
        <v>35494</v>
      </c>
      <c r="B1589" s="544">
        <v>4.75</v>
      </c>
      <c r="C1589">
        <v>5.05</v>
      </c>
      <c r="D1589">
        <v>6.25</v>
      </c>
      <c r="E1589">
        <v>7</v>
      </c>
      <c r="F1589">
        <v>2.38</v>
      </c>
      <c r="G1589">
        <v>3.88</v>
      </c>
      <c r="H1589">
        <v>4.88</v>
      </c>
      <c r="I1589">
        <v>4.75</v>
      </c>
      <c r="J1589">
        <v>1.96</v>
      </c>
      <c r="K1589">
        <v>0.5</v>
      </c>
    </row>
    <row r="1590" spans="1:11" x14ac:dyDescent="0.35">
      <c r="A1590" s="204">
        <v>35501</v>
      </c>
      <c r="B1590" s="544">
        <v>4.75</v>
      </c>
      <c r="C1590">
        <v>5.05</v>
      </c>
      <c r="D1590">
        <v>6.25</v>
      </c>
      <c r="E1590">
        <v>7</v>
      </c>
      <c r="F1590">
        <v>2.38</v>
      </c>
      <c r="G1590">
        <v>3.88</v>
      </c>
      <c r="H1590">
        <v>4.88</v>
      </c>
      <c r="I1590">
        <v>4.75</v>
      </c>
      <c r="J1590">
        <v>2.0099999999999998</v>
      </c>
      <c r="K1590">
        <v>0.5</v>
      </c>
    </row>
    <row r="1591" spans="1:11" x14ac:dyDescent="0.35">
      <c r="A1591" s="204">
        <v>35508</v>
      </c>
      <c r="B1591" s="544">
        <v>4.75</v>
      </c>
      <c r="C1591">
        <v>5.05</v>
      </c>
      <c r="D1591">
        <v>6.25</v>
      </c>
      <c r="E1591">
        <v>7</v>
      </c>
      <c r="F1591">
        <v>2.38</v>
      </c>
      <c r="G1591">
        <v>3.88</v>
      </c>
      <c r="H1591">
        <v>4.88</v>
      </c>
      <c r="I1591">
        <v>4.75</v>
      </c>
      <c r="J1591">
        <v>2.11</v>
      </c>
      <c r="K1591">
        <v>0.5</v>
      </c>
    </row>
    <row r="1592" spans="1:11" x14ac:dyDescent="0.35">
      <c r="A1592" s="204">
        <v>35515</v>
      </c>
      <c r="B1592" s="544">
        <v>4.75</v>
      </c>
      <c r="C1592">
        <v>5.2</v>
      </c>
      <c r="D1592">
        <v>6.55</v>
      </c>
      <c r="E1592">
        <v>7.3</v>
      </c>
      <c r="F1592">
        <v>2.38</v>
      </c>
      <c r="G1592">
        <v>3.88</v>
      </c>
      <c r="H1592">
        <v>4.88</v>
      </c>
      <c r="I1592">
        <v>4.75</v>
      </c>
      <c r="J1592">
        <v>2.21</v>
      </c>
      <c r="K1592">
        <v>0.5</v>
      </c>
    </row>
    <row r="1593" spans="1:11" x14ac:dyDescent="0.35">
      <c r="A1593" s="204">
        <v>35522</v>
      </c>
      <c r="B1593" s="544">
        <v>4.75</v>
      </c>
      <c r="C1593">
        <v>5.55</v>
      </c>
      <c r="D1593">
        <v>6.95</v>
      </c>
      <c r="E1593">
        <v>7.65</v>
      </c>
      <c r="F1593">
        <v>2.63</v>
      </c>
      <c r="G1593">
        <v>3.88</v>
      </c>
      <c r="H1593">
        <v>4.88</v>
      </c>
      <c r="I1593">
        <v>4.88</v>
      </c>
      <c r="J1593">
        <v>2.2999999999999998</v>
      </c>
      <c r="K1593">
        <v>0.5</v>
      </c>
    </row>
    <row r="1594" spans="1:11" x14ac:dyDescent="0.35">
      <c r="A1594" s="204">
        <v>35529</v>
      </c>
      <c r="B1594" s="544">
        <v>4.75</v>
      </c>
      <c r="C1594">
        <v>5.55</v>
      </c>
      <c r="D1594">
        <v>6.95</v>
      </c>
      <c r="E1594">
        <v>7.65</v>
      </c>
      <c r="F1594">
        <v>2.88</v>
      </c>
      <c r="G1594">
        <v>4.38</v>
      </c>
      <c r="H1594">
        <v>5</v>
      </c>
      <c r="I1594">
        <v>4.88</v>
      </c>
      <c r="J1594">
        <v>2.08</v>
      </c>
      <c r="K1594">
        <v>0.5</v>
      </c>
    </row>
    <row r="1595" spans="1:11" x14ac:dyDescent="0.35">
      <c r="A1595" s="204">
        <v>35536</v>
      </c>
      <c r="B1595" s="544">
        <v>4.75</v>
      </c>
      <c r="C1595">
        <v>5.55</v>
      </c>
      <c r="D1595">
        <v>6.95</v>
      </c>
      <c r="E1595">
        <v>7.65</v>
      </c>
      <c r="F1595">
        <v>2.88</v>
      </c>
      <c r="G1595">
        <v>4.38</v>
      </c>
      <c r="H1595">
        <v>5.13</v>
      </c>
      <c r="I1595">
        <v>5</v>
      </c>
      <c r="J1595">
        <v>2.2200000000000002</v>
      </c>
      <c r="K1595">
        <v>0.5</v>
      </c>
    </row>
    <row r="1596" spans="1:11" x14ac:dyDescent="0.35">
      <c r="A1596" s="204">
        <v>35543</v>
      </c>
      <c r="B1596" s="544">
        <v>4.75</v>
      </c>
      <c r="C1596">
        <v>5.55</v>
      </c>
      <c r="D1596">
        <v>6.95</v>
      </c>
      <c r="E1596">
        <v>7.65</v>
      </c>
      <c r="F1596">
        <v>2.88</v>
      </c>
      <c r="G1596">
        <v>4.38</v>
      </c>
      <c r="H1596">
        <v>5.13</v>
      </c>
      <c r="I1596">
        <v>5</v>
      </c>
      <c r="J1596">
        <v>2.2200000000000002</v>
      </c>
      <c r="K1596">
        <v>0.5</v>
      </c>
    </row>
    <row r="1597" spans="1:11" x14ac:dyDescent="0.35">
      <c r="A1597" s="204">
        <v>35550</v>
      </c>
      <c r="B1597" s="544">
        <v>4.75</v>
      </c>
      <c r="C1597">
        <v>5.55</v>
      </c>
      <c r="D1597">
        <v>6.95</v>
      </c>
      <c r="E1597">
        <v>7.65</v>
      </c>
      <c r="F1597">
        <v>2.88</v>
      </c>
      <c r="G1597">
        <v>4.38</v>
      </c>
      <c r="H1597">
        <v>5.13</v>
      </c>
      <c r="I1597">
        <v>5</v>
      </c>
      <c r="J1597">
        <v>2.16</v>
      </c>
      <c r="K1597">
        <v>0.5</v>
      </c>
    </row>
    <row r="1598" spans="1:11" x14ac:dyDescent="0.35">
      <c r="A1598" s="204">
        <v>35557</v>
      </c>
      <c r="B1598" s="544">
        <v>4.75</v>
      </c>
      <c r="C1598">
        <v>5.4</v>
      </c>
      <c r="D1598">
        <v>6.8</v>
      </c>
      <c r="E1598">
        <v>7.5</v>
      </c>
      <c r="F1598">
        <v>2.88</v>
      </c>
      <c r="G1598">
        <v>4.2300000000000004</v>
      </c>
      <c r="H1598">
        <v>4.88</v>
      </c>
      <c r="I1598">
        <v>4.75</v>
      </c>
      <c r="J1598">
        <v>2.02</v>
      </c>
      <c r="K1598">
        <v>0.5</v>
      </c>
    </row>
    <row r="1599" spans="1:11" x14ac:dyDescent="0.35">
      <c r="A1599" s="204">
        <v>35564</v>
      </c>
      <c r="B1599" s="544">
        <v>4.75</v>
      </c>
      <c r="C1599">
        <v>5.4</v>
      </c>
      <c r="D1599">
        <v>6.8</v>
      </c>
      <c r="E1599">
        <v>7.5</v>
      </c>
      <c r="F1599">
        <v>2.88</v>
      </c>
      <c r="G1599">
        <v>4.2300000000000004</v>
      </c>
      <c r="H1599">
        <v>4.88</v>
      </c>
      <c r="I1599">
        <v>4.75</v>
      </c>
      <c r="J1599">
        <v>2.08</v>
      </c>
      <c r="K1599">
        <v>0.5</v>
      </c>
    </row>
    <row r="1600" spans="1:11" x14ac:dyDescent="0.35">
      <c r="A1600" s="204">
        <v>35571</v>
      </c>
      <c r="B1600" s="544">
        <v>4.75</v>
      </c>
      <c r="C1600">
        <v>5.4</v>
      </c>
      <c r="D1600">
        <v>6.8</v>
      </c>
      <c r="E1600">
        <v>7.5</v>
      </c>
      <c r="F1600">
        <v>2.88</v>
      </c>
      <c r="G1600">
        <v>4.2300000000000004</v>
      </c>
      <c r="H1600">
        <v>4.88</v>
      </c>
      <c r="I1600">
        <v>4.75</v>
      </c>
      <c r="J1600">
        <v>2.13</v>
      </c>
      <c r="K1600">
        <v>0.5</v>
      </c>
    </row>
    <row r="1601" spans="1:11" x14ac:dyDescent="0.35">
      <c r="A1601" s="204">
        <v>35578</v>
      </c>
      <c r="B1601" s="544">
        <v>4.75</v>
      </c>
      <c r="C1601">
        <v>5.4</v>
      </c>
      <c r="D1601">
        <v>6.8</v>
      </c>
      <c r="E1601">
        <v>7.35</v>
      </c>
      <c r="F1601">
        <v>2.75</v>
      </c>
      <c r="G1601">
        <v>4.13</v>
      </c>
      <c r="H1601">
        <v>4.88</v>
      </c>
      <c r="I1601">
        <v>4.75</v>
      </c>
      <c r="J1601">
        <v>2.0299999999999998</v>
      </c>
      <c r="K1601">
        <v>0.5</v>
      </c>
    </row>
    <row r="1602" spans="1:11" x14ac:dyDescent="0.35">
      <c r="A1602" s="204">
        <v>35585</v>
      </c>
      <c r="B1602" s="544">
        <v>4.75</v>
      </c>
      <c r="C1602">
        <v>5.4</v>
      </c>
      <c r="D1602">
        <v>6.8</v>
      </c>
      <c r="E1602">
        <v>7.35</v>
      </c>
      <c r="F1602">
        <v>2.75</v>
      </c>
      <c r="G1602">
        <v>4.13</v>
      </c>
      <c r="H1602">
        <v>4.88</v>
      </c>
      <c r="I1602">
        <v>4.75</v>
      </c>
      <c r="J1602">
        <v>2</v>
      </c>
      <c r="K1602">
        <v>0.5</v>
      </c>
    </row>
    <row r="1603" spans="1:11" x14ac:dyDescent="0.35">
      <c r="A1603" s="204">
        <v>35592</v>
      </c>
      <c r="B1603" s="544">
        <v>4.75</v>
      </c>
      <c r="C1603">
        <v>5.4</v>
      </c>
      <c r="D1603">
        <v>6.8</v>
      </c>
      <c r="E1603">
        <v>7.35</v>
      </c>
      <c r="F1603">
        <v>2.75</v>
      </c>
      <c r="G1603">
        <v>4.13</v>
      </c>
      <c r="H1603">
        <v>4.88</v>
      </c>
      <c r="I1603">
        <v>4.75</v>
      </c>
      <c r="J1603">
        <v>1.92</v>
      </c>
      <c r="K1603">
        <v>0.5</v>
      </c>
    </row>
    <row r="1604" spans="1:11" x14ac:dyDescent="0.35">
      <c r="A1604" s="204">
        <v>35599</v>
      </c>
      <c r="B1604" s="544">
        <v>4.75</v>
      </c>
      <c r="C1604">
        <v>5.2</v>
      </c>
      <c r="D1604">
        <v>6.5</v>
      </c>
      <c r="E1604">
        <v>7.15</v>
      </c>
      <c r="F1604">
        <v>2.5</v>
      </c>
      <c r="G1604">
        <v>3.88</v>
      </c>
      <c r="H1604">
        <v>4.63</v>
      </c>
      <c r="I1604">
        <v>4.5</v>
      </c>
      <c r="J1604">
        <v>1.88</v>
      </c>
      <c r="K1604">
        <v>0.5</v>
      </c>
    </row>
    <row r="1605" spans="1:11" x14ac:dyDescent="0.35">
      <c r="A1605" s="204">
        <v>35606</v>
      </c>
      <c r="B1605" s="544">
        <v>4.75</v>
      </c>
      <c r="C1605">
        <v>5.2</v>
      </c>
      <c r="D1605">
        <v>6.5</v>
      </c>
      <c r="E1605">
        <v>7</v>
      </c>
      <c r="F1605">
        <v>2.5</v>
      </c>
      <c r="G1605">
        <v>3.88</v>
      </c>
      <c r="H1605">
        <v>4.63</v>
      </c>
      <c r="I1605">
        <v>4.5</v>
      </c>
      <c r="J1605">
        <v>1.88</v>
      </c>
      <c r="K1605">
        <v>0.5</v>
      </c>
    </row>
    <row r="1606" spans="1:11" x14ac:dyDescent="0.35">
      <c r="A1606" s="204">
        <v>35613</v>
      </c>
      <c r="B1606" s="544">
        <v>4.75</v>
      </c>
      <c r="C1606">
        <v>5.2</v>
      </c>
      <c r="D1606">
        <v>6.5</v>
      </c>
      <c r="E1606">
        <v>7</v>
      </c>
      <c r="F1606">
        <v>2.5</v>
      </c>
      <c r="G1606">
        <v>3.88</v>
      </c>
      <c r="H1606">
        <v>4.63</v>
      </c>
      <c r="I1606">
        <v>4.5</v>
      </c>
      <c r="J1606">
        <v>1.88</v>
      </c>
      <c r="K1606">
        <v>0.5</v>
      </c>
    </row>
    <row r="1607" spans="1:11" x14ac:dyDescent="0.35">
      <c r="A1607" s="204">
        <v>35620</v>
      </c>
      <c r="B1607" s="544">
        <v>4.75</v>
      </c>
      <c r="C1607">
        <v>5.2</v>
      </c>
      <c r="D1607">
        <v>6.5</v>
      </c>
      <c r="E1607">
        <v>7</v>
      </c>
      <c r="F1607">
        <v>2.5</v>
      </c>
      <c r="G1607">
        <v>3.88</v>
      </c>
      <c r="H1607">
        <v>4.63</v>
      </c>
      <c r="I1607">
        <v>4.5</v>
      </c>
      <c r="J1607">
        <v>2.08</v>
      </c>
      <c r="K1607">
        <v>0.5</v>
      </c>
    </row>
    <row r="1608" spans="1:11" x14ac:dyDescent="0.35">
      <c r="A1608" s="204">
        <v>35627</v>
      </c>
      <c r="B1608" s="544">
        <v>4.75</v>
      </c>
      <c r="C1608">
        <v>5.2</v>
      </c>
      <c r="D1608">
        <v>6.5</v>
      </c>
      <c r="E1608">
        <v>7</v>
      </c>
      <c r="F1608">
        <v>2.5</v>
      </c>
      <c r="G1608">
        <v>3.88</v>
      </c>
      <c r="H1608">
        <v>4.63</v>
      </c>
      <c r="I1608">
        <v>4.5</v>
      </c>
      <c r="J1608">
        <v>2.23</v>
      </c>
      <c r="K1608">
        <v>0.5</v>
      </c>
    </row>
    <row r="1609" spans="1:11" x14ac:dyDescent="0.35">
      <c r="A1609" s="204">
        <v>35634</v>
      </c>
      <c r="B1609" s="544">
        <v>4.75</v>
      </c>
      <c r="C1609">
        <v>5.2</v>
      </c>
      <c r="D1609">
        <v>6.5</v>
      </c>
      <c r="E1609">
        <v>7</v>
      </c>
      <c r="F1609">
        <v>2.5</v>
      </c>
      <c r="G1609">
        <v>3.88</v>
      </c>
      <c r="H1609">
        <v>4.63</v>
      </c>
      <c r="I1609">
        <v>4.5</v>
      </c>
      <c r="J1609">
        <v>2.4</v>
      </c>
      <c r="K1609">
        <v>0.5</v>
      </c>
    </row>
    <row r="1610" spans="1:11" x14ac:dyDescent="0.35">
      <c r="A1610" s="204">
        <v>35641</v>
      </c>
      <c r="B1610" s="544">
        <v>4.75</v>
      </c>
      <c r="C1610">
        <v>5.65</v>
      </c>
      <c r="D1610">
        <v>6.5</v>
      </c>
      <c r="E1610">
        <v>7</v>
      </c>
      <c r="F1610">
        <v>2.63</v>
      </c>
      <c r="G1610">
        <v>3.88</v>
      </c>
      <c r="H1610">
        <v>4.63</v>
      </c>
      <c r="I1610">
        <v>4.5</v>
      </c>
      <c r="J1610">
        <v>2.34</v>
      </c>
      <c r="K1610">
        <v>0.5</v>
      </c>
    </row>
    <row r="1611" spans="1:11" x14ac:dyDescent="0.35">
      <c r="A1611" s="204">
        <v>35648</v>
      </c>
      <c r="B1611" s="544">
        <v>4.75</v>
      </c>
      <c r="C1611">
        <v>5.65</v>
      </c>
      <c r="D1611">
        <v>6.5</v>
      </c>
      <c r="E1611">
        <v>7</v>
      </c>
      <c r="F1611">
        <v>2.88</v>
      </c>
      <c r="G1611">
        <v>3.88</v>
      </c>
      <c r="H1611">
        <v>4.63</v>
      </c>
      <c r="I1611">
        <v>4.5</v>
      </c>
      <c r="J1611">
        <v>2.34</v>
      </c>
      <c r="K1611">
        <v>0.5</v>
      </c>
    </row>
    <row r="1612" spans="1:11" x14ac:dyDescent="0.35">
      <c r="A1612" s="204">
        <v>35655</v>
      </c>
      <c r="B1612" s="544">
        <v>4.75</v>
      </c>
      <c r="C1612">
        <v>5.65</v>
      </c>
      <c r="D1612">
        <v>6.5</v>
      </c>
      <c r="E1612">
        <v>7</v>
      </c>
      <c r="F1612">
        <v>2.88</v>
      </c>
      <c r="G1612">
        <v>3.88</v>
      </c>
      <c r="H1612">
        <v>4.63</v>
      </c>
      <c r="I1612">
        <v>4.5</v>
      </c>
      <c r="J1612">
        <v>2.16</v>
      </c>
      <c r="K1612">
        <v>0.5</v>
      </c>
    </row>
    <row r="1613" spans="1:11" x14ac:dyDescent="0.35">
      <c r="A1613" s="204">
        <v>35662</v>
      </c>
      <c r="B1613" s="544">
        <v>4.75</v>
      </c>
      <c r="C1613">
        <v>5.65</v>
      </c>
      <c r="D1613">
        <v>6.5</v>
      </c>
      <c r="E1613">
        <v>7</v>
      </c>
      <c r="F1613">
        <v>2.88</v>
      </c>
      <c r="G1613">
        <v>3.88</v>
      </c>
      <c r="H1613">
        <v>4.63</v>
      </c>
      <c r="I1613">
        <v>4.5</v>
      </c>
      <c r="J1613">
        <v>2.0099999999999998</v>
      </c>
      <c r="K1613">
        <v>0.5</v>
      </c>
    </row>
    <row r="1614" spans="1:11" x14ac:dyDescent="0.35">
      <c r="A1614" s="204">
        <v>35669</v>
      </c>
      <c r="B1614" s="544">
        <v>4.75</v>
      </c>
      <c r="C1614">
        <v>5.65</v>
      </c>
      <c r="D1614">
        <v>6.5</v>
      </c>
      <c r="E1614">
        <v>7</v>
      </c>
      <c r="F1614">
        <v>2.88</v>
      </c>
      <c r="G1614">
        <v>3.88</v>
      </c>
      <c r="H1614">
        <v>4.63</v>
      </c>
      <c r="I1614">
        <v>4.5</v>
      </c>
      <c r="J1614">
        <v>2.15</v>
      </c>
      <c r="K1614">
        <v>0.5</v>
      </c>
    </row>
    <row r="1615" spans="1:11" x14ac:dyDescent="0.35">
      <c r="A1615" s="204">
        <v>35676</v>
      </c>
      <c r="B1615" s="544">
        <v>4.75</v>
      </c>
      <c r="C1615">
        <v>5.65</v>
      </c>
      <c r="D1615">
        <v>6.5</v>
      </c>
      <c r="E1615">
        <v>7</v>
      </c>
      <c r="F1615">
        <v>2.88</v>
      </c>
      <c r="G1615">
        <v>3.88</v>
      </c>
      <c r="H1615">
        <v>4.63</v>
      </c>
      <c r="I1615">
        <v>4.5</v>
      </c>
      <c r="J1615">
        <v>2.1</v>
      </c>
      <c r="K1615">
        <v>0.5</v>
      </c>
    </row>
    <row r="1616" spans="1:11" x14ac:dyDescent="0.35">
      <c r="A1616" s="204">
        <v>35683</v>
      </c>
      <c r="B1616" s="544">
        <v>4.75</v>
      </c>
      <c r="C1616">
        <v>5.65</v>
      </c>
      <c r="D1616">
        <v>6.5</v>
      </c>
      <c r="E1616">
        <v>7</v>
      </c>
      <c r="F1616">
        <v>2.88</v>
      </c>
      <c r="G1616">
        <v>3.88</v>
      </c>
      <c r="H1616">
        <v>4.63</v>
      </c>
      <c r="I1616">
        <v>4.5</v>
      </c>
      <c r="J1616">
        <v>2.0099999999999998</v>
      </c>
      <c r="K1616">
        <v>0.5</v>
      </c>
    </row>
    <row r="1617" spans="1:11" x14ac:dyDescent="0.35">
      <c r="A1617" s="204">
        <v>35690</v>
      </c>
      <c r="B1617" s="544">
        <v>4.75</v>
      </c>
      <c r="C1617">
        <v>5.65</v>
      </c>
      <c r="D1617">
        <v>6.5</v>
      </c>
      <c r="E1617">
        <v>7</v>
      </c>
      <c r="F1617">
        <v>2.88</v>
      </c>
      <c r="G1617">
        <v>3.88</v>
      </c>
      <c r="H1617">
        <v>4.63</v>
      </c>
      <c r="I1617">
        <v>4.5</v>
      </c>
      <c r="J1617">
        <v>1.99</v>
      </c>
      <c r="K1617">
        <v>0.5</v>
      </c>
    </row>
    <row r="1618" spans="1:11" x14ac:dyDescent="0.35">
      <c r="A1618" s="204">
        <v>35697</v>
      </c>
      <c r="B1618" s="544">
        <v>4.75</v>
      </c>
      <c r="C1618">
        <v>5.65</v>
      </c>
      <c r="D1618">
        <v>6.5</v>
      </c>
      <c r="E1618">
        <v>6.85</v>
      </c>
      <c r="F1618">
        <v>2.88</v>
      </c>
      <c r="G1618">
        <v>3.88</v>
      </c>
      <c r="H1618">
        <v>4.63</v>
      </c>
      <c r="I1618">
        <v>4.25</v>
      </c>
      <c r="J1618">
        <v>1.99</v>
      </c>
      <c r="K1618">
        <v>0.5</v>
      </c>
    </row>
    <row r="1619" spans="1:11" x14ac:dyDescent="0.35">
      <c r="A1619" s="204">
        <v>35704</v>
      </c>
      <c r="B1619" s="544">
        <v>4.75</v>
      </c>
      <c r="C1619">
        <v>5.65</v>
      </c>
      <c r="D1619">
        <v>6.5</v>
      </c>
      <c r="E1619">
        <v>6.85</v>
      </c>
      <c r="F1619">
        <v>2.88</v>
      </c>
      <c r="G1619">
        <v>3.88</v>
      </c>
      <c r="H1619">
        <v>4.38</v>
      </c>
      <c r="I1619">
        <v>4.25</v>
      </c>
      <c r="J1619">
        <v>2.12</v>
      </c>
      <c r="K1619">
        <v>0.5</v>
      </c>
    </row>
    <row r="1620" spans="1:11" x14ac:dyDescent="0.35">
      <c r="A1620" s="204">
        <v>35711</v>
      </c>
      <c r="B1620" s="544">
        <v>5.25</v>
      </c>
      <c r="C1620">
        <v>5.65</v>
      </c>
      <c r="D1620">
        <v>6.35</v>
      </c>
      <c r="E1620">
        <v>6.7</v>
      </c>
      <c r="F1620">
        <v>2.88</v>
      </c>
      <c r="G1620">
        <v>3.88</v>
      </c>
      <c r="H1620">
        <v>4.38</v>
      </c>
      <c r="I1620">
        <v>4.25</v>
      </c>
      <c r="J1620">
        <v>2.12</v>
      </c>
      <c r="K1620">
        <v>0.5</v>
      </c>
    </row>
    <row r="1621" spans="1:11" x14ac:dyDescent="0.35">
      <c r="A1621" s="204">
        <v>35718</v>
      </c>
      <c r="B1621" s="544">
        <v>5.25</v>
      </c>
      <c r="C1621">
        <v>5.65</v>
      </c>
      <c r="D1621">
        <v>6.35</v>
      </c>
      <c r="E1621">
        <v>6.7</v>
      </c>
      <c r="F1621">
        <v>2.88</v>
      </c>
      <c r="G1621">
        <v>3.88</v>
      </c>
      <c r="H1621">
        <v>4.38</v>
      </c>
      <c r="I1621">
        <v>4.25</v>
      </c>
      <c r="J1621">
        <v>2.3199999999999998</v>
      </c>
      <c r="K1621">
        <v>0.5</v>
      </c>
    </row>
    <row r="1622" spans="1:11" x14ac:dyDescent="0.35">
      <c r="A1622" s="204">
        <v>35725</v>
      </c>
      <c r="B1622" s="544">
        <v>5.25</v>
      </c>
      <c r="C1622">
        <v>5.65</v>
      </c>
      <c r="D1622">
        <v>6.35</v>
      </c>
      <c r="E1622">
        <v>6.7</v>
      </c>
      <c r="F1622">
        <v>2.88</v>
      </c>
      <c r="G1622">
        <v>3.88</v>
      </c>
      <c r="H1622">
        <v>4.38</v>
      </c>
      <c r="I1622">
        <v>4.25</v>
      </c>
      <c r="J1622">
        <v>2.3199999999999998</v>
      </c>
      <c r="K1622">
        <v>0.5</v>
      </c>
    </row>
    <row r="1623" spans="1:11" x14ac:dyDescent="0.35">
      <c r="A1623" s="204">
        <v>35732</v>
      </c>
      <c r="B1623" s="544">
        <v>5.25</v>
      </c>
      <c r="C1623">
        <v>5.65</v>
      </c>
      <c r="D1623">
        <v>6.35</v>
      </c>
      <c r="E1623">
        <v>6.7</v>
      </c>
      <c r="F1623">
        <v>2.88</v>
      </c>
      <c r="G1623">
        <v>3.88</v>
      </c>
      <c r="H1623">
        <v>4.38</v>
      </c>
      <c r="I1623">
        <v>4.25</v>
      </c>
      <c r="J1623">
        <v>2.65</v>
      </c>
      <c r="K1623">
        <v>0.5</v>
      </c>
    </row>
    <row r="1624" spans="1:11" x14ac:dyDescent="0.35">
      <c r="A1624" s="204">
        <v>35739</v>
      </c>
      <c r="B1624" s="544">
        <v>5.25</v>
      </c>
      <c r="C1624">
        <v>5.65</v>
      </c>
      <c r="D1624">
        <v>6.35</v>
      </c>
      <c r="E1624">
        <v>6.7</v>
      </c>
      <c r="F1624">
        <v>2.88</v>
      </c>
      <c r="G1624">
        <v>3.88</v>
      </c>
      <c r="H1624">
        <v>4.38</v>
      </c>
      <c r="I1624">
        <v>4.25</v>
      </c>
      <c r="J1624">
        <v>2.65</v>
      </c>
      <c r="K1624">
        <v>0.5</v>
      </c>
    </row>
    <row r="1625" spans="1:11" x14ac:dyDescent="0.35">
      <c r="A1625" s="204">
        <v>35746</v>
      </c>
      <c r="B1625" s="544">
        <v>5.25</v>
      </c>
      <c r="C1625">
        <v>5.65</v>
      </c>
      <c r="D1625">
        <v>6.35</v>
      </c>
      <c r="E1625">
        <v>6.7</v>
      </c>
      <c r="F1625">
        <v>2.88</v>
      </c>
      <c r="G1625">
        <v>3.88</v>
      </c>
      <c r="H1625">
        <v>4.38</v>
      </c>
      <c r="I1625">
        <v>4.25</v>
      </c>
      <c r="J1625">
        <v>2.65</v>
      </c>
      <c r="K1625">
        <v>0.5</v>
      </c>
    </row>
    <row r="1626" spans="1:11" x14ac:dyDescent="0.35">
      <c r="A1626" s="204">
        <v>35753</v>
      </c>
      <c r="B1626" s="544">
        <v>5.25</v>
      </c>
      <c r="C1626">
        <v>5.65</v>
      </c>
      <c r="D1626">
        <v>6.35</v>
      </c>
      <c r="E1626">
        <v>6.7</v>
      </c>
      <c r="F1626">
        <v>2.88</v>
      </c>
      <c r="G1626">
        <v>3.88</v>
      </c>
      <c r="H1626">
        <v>4.38</v>
      </c>
      <c r="I1626">
        <v>4.25</v>
      </c>
      <c r="J1626">
        <v>2.65</v>
      </c>
      <c r="K1626">
        <v>0.5</v>
      </c>
    </row>
    <row r="1627" spans="1:11" x14ac:dyDescent="0.35">
      <c r="A1627" s="204">
        <v>35760</v>
      </c>
      <c r="B1627" s="544">
        <v>5.5</v>
      </c>
      <c r="C1627">
        <v>5.65</v>
      </c>
      <c r="D1627">
        <v>6.35</v>
      </c>
      <c r="E1627">
        <v>6.7</v>
      </c>
      <c r="F1627">
        <v>2.88</v>
      </c>
      <c r="G1627">
        <v>3.88</v>
      </c>
      <c r="H1627">
        <v>4.38</v>
      </c>
      <c r="I1627">
        <v>4.25</v>
      </c>
      <c r="J1627">
        <v>2.59</v>
      </c>
      <c r="K1627">
        <v>0.5</v>
      </c>
    </row>
    <row r="1628" spans="1:11" x14ac:dyDescent="0.35">
      <c r="A1628" s="204">
        <v>35767</v>
      </c>
      <c r="B1628" s="544">
        <v>5.5</v>
      </c>
      <c r="C1628">
        <v>5.9</v>
      </c>
      <c r="D1628">
        <v>6.35</v>
      </c>
      <c r="E1628">
        <v>6.7</v>
      </c>
      <c r="F1628">
        <v>3.13</v>
      </c>
      <c r="G1628">
        <v>3.88</v>
      </c>
      <c r="H1628">
        <v>4.38</v>
      </c>
      <c r="I1628">
        <v>4.25</v>
      </c>
      <c r="J1628">
        <v>2.59</v>
      </c>
      <c r="K1628">
        <v>0.5</v>
      </c>
    </row>
    <row r="1629" spans="1:11" x14ac:dyDescent="0.35">
      <c r="A1629" s="204">
        <v>35774</v>
      </c>
      <c r="B1629" s="544">
        <v>5.5</v>
      </c>
      <c r="C1629">
        <v>5.9</v>
      </c>
      <c r="D1629">
        <v>6.35</v>
      </c>
      <c r="E1629">
        <v>6.7</v>
      </c>
      <c r="F1629">
        <v>3.13</v>
      </c>
      <c r="G1629">
        <v>3.88</v>
      </c>
      <c r="H1629">
        <v>4.38</v>
      </c>
      <c r="I1629">
        <v>4.25</v>
      </c>
      <c r="J1629">
        <v>2.82</v>
      </c>
      <c r="K1629">
        <v>0.5</v>
      </c>
    </row>
    <row r="1630" spans="1:11" x14ac:dyDescent="0.35">
      <c r="A1630" s="204">
        <v>35781</v>
      </c>
      <c r="B1630" s="544">
        <v>6</v>
      </c>
      <c r="C1630">
        <v>6.1</v>
      </c>
      <c r="D1630">
        <v>6.7</v>
      </c>
      <c r="E1630">
        <v>7.05</v>
      </c>
      <c r="F1630">
        <v>3.38</v>
      </c>
      <c r="G1630">
        <v>4.13</v>
      </c>
      <c r="H1630">
        <v>4.63</v>
      </c>
      <c r="I1630">
        <v>4.5</v>
      </c>
      <c r="J1630">
        <v>2.82</v>
      </c>
      <c r="K1630">
        <v>0.5</v>
      </c>
    </row>
    <row r="1631" spans="1:11" x14ac:dyDescent="0.35">
      <c r="A1631" s="204">
        <v>35788</v>
      </c>
      <c r="B1631" s="544">
        <v>6</v>
      </c>
      <c r="C1631">
        <v>6.4</v>
      </c>
      <c r="D1631">
        <v>7</v>
      </c>
      <c r="E1631">
        <v>7.05</v>
      </c>
      <c r="F1631">
        <v>3.68</v>
      </c>
      <c r="G1631">
        <v>4.33</v>
      </c>
      <c r="H1631">
        <v>4.63</v>
      </c>
      <c r="I1631">
        <v>4.5</v>
      </c>
      <c r="J1631">
        <v>3.48</v>
      </c>
      <c r="K1631">
        <v>0.5</v>
      </c>
    </row>
    <row r="1632" spans="1:11" x14ac:dyDescent="0.35">
      <c r="A1632" s="204">
        <v>35795</v>
      </c>
      <c r="B1632" s="544">
        <v>6</v>
      </c>
      <c r="C1632">
        <v>6.65</v>
      </c>
      <c r="D1632">
        <v>7</v>
      </c>
      <c r="E1632">
        <v>7.05</v>
      </c>
      <c r="F1632">
        <v>3.68</v>
      </c>
      <c r="G1632">
        <v>4.33</v>
      </c>
      <c r="H1632">
        <v>4.63</v>
      </c>
      <c r="I1632">
        <v>4.5</v>
      </c>
      <c r="J1632">
        <v>3.48</v>
      </c>
      <c r="K1632">
        <v>0.5</v>
      </c>
    </row>
    <row r="1633" spans="1:11" x14ac:dyDescent="0.35">
      <c r="A1633" s="204">
        <v>35802</v>
      </c>
      <c r="B1633" s="544">
        <v>6</v>
      </c>
      <c r="C1633">
        <v>6.65</v>
      </c>
      <c r="D1633">
        <v>7</v>
      </c>
      <c r="E1633">
        <v>7.05</v>
      </c>
      <c r="F1633">
        <v>3.68</v>
      </c>
      <c r="G1633">
        <v>4.33</v>
      </c>
      <c r="H1633">
        <v>4.63</v>
      </c>
      <c r="I1633">
        <v>4.5</v>
      </c>
      <c r="J1633">
        <v>3.19</v>
      </c>
      <c r="K1633">
        <v>0.5</v>
      </c>
    </row>
    <row r="1634" spans="1:11" x14ac:dyDescent="0.35">
      <c r="A1634" s="204">
        <v>35809</v>
      </c>
      <c r="B1634" s="544">
        <v>6</v>
      </c>
      <c r="C1634">
        <v>6.4</v>
      </c>
      <c r="D1634">
        <v>6.7</v>
      </c>
      <c r="E1634">
        <v>6.85</v>
      </c>
      <c r="F1634">
        <v>3.55</v>
      </c>
      <c r="G1634">
        <v>3.93</v>
      </c>
      <c r="H1634">
        <v>4.33</v>
      </c>
      <c r="I1634">
        <v>4.2</v>
      </c>
      <c r="J1634">
        <v>3.19</v>
      </c>
      <c r="K1634">
        <v>0.5</v>
      </c>
    </row>
    <row r="1635" spans="1:11" x14ac:dyDescent="0.35">
      <c r="A1635" s="204">
        <v>35816</v>
      </c>
      <c r="B1635" s="544">
        <v>6</v>
      </c>
      <c r="C1635">
        <v>6.4</v>
      </c>
      <c r="D1635">
        <v>6.7</v>
      </c>
      <c r="E1635">
        <v>6.85</v>
      </c>
      <c r="F1635">
        <v>3.48</v>
      </c>
      <c r="G1635">
        <v>3.93</v>
      </c>
      <c r="H1635">
        <v>4.33</v>
      </c>
      <c r="I1635">
        <v>4.2</v>
      </c>
      <c r="J1635">
        <v>3.2</v>
      </c>
      <c r="K1635">
        <v>0.5</v>
      </c>
    </row>
    <row r="1636" spans="1:11" x14ac:dyDescent="0.35">
      <c r="A1636" s="204">
        <v>35823</v>
      </c>
      <c r="B1636" s="544">
        <v>6</v>
      </c>
      <c r="C1636">
        <v>6.4</v>
      </c>
      <c r="D1636">
        <v>6.7</v>
      </c>
      <c r="E1636">
        <v>6.85</v>
      </c>
      <c r="F1636">
        <v>3.48</v>
      </c>
      <c r="G1636">
        <v>3.93</v>
      </c>
      <c r="H1636">
        <v>4.33</v>
      </c>
      <c r="I1636">
        <v>4.2</v>
      </c>
      <c r="J1636">
        <v>3.2</v>
      </c>
      <c r="K1636">
        <v>0.5</v>
      </c>
    </row>
    <row r="1637" spans="1:11" x14ac:dyDescent="0.35">
      <c r="A1637" s="204">
        <v>35830</v>
      </c>
      <c r="B1637" s="544">
        <v>6.5</v>
      </c>
      <c r="C1637">
        <v>6.4</v>
      </c>
      <c r="D1637">
        <v>6.7</v>
      </c>
      <c r="E1637">
        <v>6.85</v>
      </c>
      <c r="F1637">
        <v>3.48</v>
      </c>
      <c r="G1637">
        <v>3.93</v>
      </c>
      <c r="H1637">
        <v>4.33</v>
      </c>
      <c r="I1637">
        <v>4.2</v>
      </c>
      <c r="J1637">
        <v>3.54</v>
      </c>
      <c r="K1637">
        <v>0.5</v>
      </c>
    </row>
    <row r="1638" spans="1:11" x14ac:dyDescent="0.35">
      <c r="A1638" s="204">
        <v>35837</v>
      </c>
      <c r="B1638" s="544">
        <v>6.5</v>
      </c>
      <c r="C1638">
        <v>6.4</v>
      </c>
      <c r="D1638">
        <v>6.7</v>
      </c>
      <c r="E1638">
        <v>6.85</v>
      </c>
      <c r="F1638">
        <v>3.48</v>
      </c>
      <c r="G1638">
        <v>3.93</v>
      </c>
      <c r="H1638">
        <v>4.33</v>
      </c>
      <c r="I1638">
        <v>4.2</v>
      </c>
      <c r="J1638">
        <v>3.54</v>
      </c>
      <c r="K1638">
        <v>0.5</v>
      </c>
    </row>
    <row r="1639" spans="1:11" x14ac:dyDescent="0.35">
      <c r="A1639" s="204">
        <v>35844</v>
      </c>
      <c r="B1639" s="544">
        <v>6.5</v>
      </c>
      <c r="C1639">
        <v>6.4</v>
      </c>
      <c r="D1639">
        <v>6.7</v>
      </c>
      <c r="E1639">
        <v>6.85</v>
      </c>
      <c r="F1639">
        <v>3.58</v>
      </c>
      <c r="G1639">
        <v>4.03</v>
      </c>
      <c r="H1639">
        <v>4.38</v>
      </c>
      <c r="I1639">
        <v>4.2</v>
      </c>
      <c r="J1639">
        <v>3.55</v>
      </c>
      <c r="K1639">
        <v>0.5</v>
      </c>
    </row>
    <row r="1640" spans="1:11" x14ac:dyDescent="0.35">
      <c r="A1640" s="204">
        <v>35851</v>
      </c>
      <c r="B1640" s="544">
        <v>6.5</v>
      </c>
      <c r="C1640">
        <v>6.4</v>
      </c>
      <c r="D1640">
        <v>6.7</v>
      </c>
      <c r="E1640">
        <v>6.85</v>
      </c>
      <c r="F1640">
        <v>3.58</v>
      </c>
      <c r="G1640">
        <v>4.03</v>
      </c>
      <c r="H1640">
        <v>4.38</v>
      </c>
      <c r="I1640">
        <v>4.25</v>
      </c>
      <c r="J1640">
        <v>3.59</v>
      </c>
      <c r="K1640">
        <v>0.5</v>
      </c>
    </row>
    <row r="1641" spans="1:11" x14ac:dyDescent="0.35">
      <c r="A1641" s="204">
        <v>35858</v>
      </c>
      <c r="B1641" s="544">
        <v>6.5</v>
      </c>
      <c r="C1641">
        <v>6.4</v>
      </c>
      <c r="D1641">
        <v>6.7</v>
      </c>
      <c r="E1641">
        <v>6.85</v>
      </c>
      <c r="F1641">
        <v>3.58</v>
      </c>
      <c r="G1641">
        <v>4.03</v>
      </c>
      <c r="H1641">
        <v>4.38</v>
      </c>
      <c r="I1641">
        <v>4.25</v>
      </c>
      <c r="J1641">
        <v>3.67</v>
      </c>
      <c r="K1641">
        <v>0.5</v>
      </c>
    </row>
    <row r="1642" spans="1:11" x14ac:dyDescent="0.35">
      <c r="A1642" s="204">
        <v>35865</v>
      </c>
      <c r="B1642" s="544">
        <v>6.5</v>
      </c>
      <c r="C1642">
        <v>6.4</v>
      </c>
      <c r="D1642">
        <v>6.7</v>
      </c>
      <c r="E1642">
        <v>6.85</v>
      </c>
      <c r="F1642">
        <v>3.58</v>
      </c>
      <c r="G1642">
        <v>4.03</v>
      </c>
      <c r="H1642">
        <v>4.38</v>
      </c>
      <c r="I1642">
        <v>4.25</v>
      </c>
      <c r="J1642">
        <v>3.67</v>
      </c>
      <c r="K1642">
        <v>0.5</v>
      </c>
    </row>
    <row r="1643" spans="1:11" x14ac:dyDescent="0.35">
      <c r="A1643" s="204">
        <v>35872</v>
      </c>
      <c r="B1643" s="544">
        <v>6.5</v>
      </c>
      <c r="C1643">
        <v>6.4</v>
      </c>
      <c r="D1643">
        <v>6.7</v>
      </c>
      <c r="E1643">
        <v>6.85</v>
      </c>
      <c r="F1643">
        <v>3.58</v>
      </c>
      <c r="G1643">
        <v>4.03</v>
      </c>
      <c r="H1643">
        <v>4.38</v>
      </c>
      <c r="I1643">
        <v>4.25</v>
      </c>
      <c r="J1643">
        <v>3.6</v>
      </c>
      <c r="K1643">
        <v>0.5</v>
      </c>
    </row>
    <row r="1644" spans="1:11" x14ac:dyDescent="0.35">
      <c r="A1644" s="204">
        <v>35879</v>
      </c>
      <c r="B1644" s="544">
        <v>6.5</v>
      </c>
      <c r="C1644">
        <v>6.4</v>
      </c>
      <c r="D1644">
        <v>6.7</v>
      </c>
      <c r="E1644">
        <v>6.85</v>
      </c>
      <c r="F1644">
        <v>3.58</v>
      </c>
      <c r="G1644">
        <v>4.03</v>
      </c>
      <c r="H1644">
        <v>4.38</v>
      </c>
      <c r="I1644">
        <v>4.25</v>
      </c>
      <c r="J1644">
        <v>3.6</v>
      </c>
      <c r="K1644">
        <v>0.2</v>
      </c>
    </row>
    <row r="1645" spans="1:11" x14ac:dyDescent="0.35">
      <c r="A1645" s="204">
        <v>35886</v>
      </c>
      <c r="B1645" s="544">
        <v>6.5</v>
      </c>
      <c r="C1645">
        <v>6.4</v>
      </c>
      <c r="D1645">
        <v>6.7</v>
      </c>
      <c r="E1645">
        <v>6.85</v>
      </c>
      <c r="F1645">
        <v>3.58</v>
      </c>
      <c r="G1645">
        <v>4.03</v>
      </c>
      <c r="H1645">
        <v>4.38</v>
      </c>
      <c r="I1645">
        <v>4.25</v>
      </c>
      <c r="J1645">
        <v>3.59</v>
      </c>
      <c r="K1645">
        <v>0.2</v>
      </c>
    </row>
    <row r="1646" spans="1:11" x14ac:dyDescent="0.35">
      <c r="A1646" s="204">
        <v>35893</v>
      </c>
      <c r="B1646" s="544">
        <v>6.5</v>
      </c>
      <c r="C1646">
        <v>6.3</v>
      </c>
      <c r="D1646">
        <v>6.6</v>
      </c>
      <c r="E1646">
        <v>6.75</v>
      </c>
      <c r="F1646">
        <v>3.58</v>
      </c>
      <c r="G1646">
        <v>4.03</v>
      </c>
      <c r="H1646">
        <v>4.38</v>
      </c>
      <c r="I1646">
        <v>4.25</v>
      </c>
      <c r="J1646">
        <v>3.59</v>
      </c>
      <c r="K1646">
        <v>0.2</v>
      </c>
    </row>
    <row r="1647" spans="1:11" x14ac:dyDescent="0.35">
      <c r="A1647" s="204">
        <v>35900</v>
      </c>
      <c r="B1647" s="544">
        <v>6.5</v>
      </c>
      <c r="C1647">
        <v>6.3</v>
      </c>
      <c r="D1647">
        <v>6.6</v>
      </c>
      <c r="E1647">
        <v>6.75</v>
      </c>
      <c r="F1647">
        <v>3.48</v>
      </c>
      <c r="G1647">
        <v>3.93</v>
      </c>
      <c r="H1647">
        <v>4.28</v>
      </c>
      <c r="I1647">
        <v>4.1500000000000004</v>
      </c>
      <c r="J1647">
        <v>3.57</v>
      </c>
      <c r="K1647">
        <v>0.2</v>
      </c>
    </row>
    <row r="1648" spans="1:11" x14ac:dyDescent="0.35">
      <c r="A1648" s="204">
        <v>35907</v>
      </c>
      <c r="B1648" s="544">
        <v>6.5</v>
      </c>
      <c r="C1648">
        <v>6.3</v>
      </c>
      <c r="D1648">
        <v>6.6</v>
      </c>
      <c r="E1648">
        <v>6.75</v>
      </c>
      <c r="F1648">
        <v>3.48</v>
      </c>
      <c r="G1648">
        <v>3.93</v>
      </c>
      <c r="H1648">
        <v>4.28</v>
      </c>
      <c r="I1648">
        <v>4.1500000000000004</v>
      </c>
      <c r="J1648">
        <v>3.57</v>
      </c>
      <c r="K1648">
        <v>0.2</v>
      </c>
    </row>
    <row r="1649" spans="1:11" x14ac:dyDescent="0.35">
      <c r="A1649" s="204">
        <v>35914</v>
      </c>
      <c r="B1649" s="544">
        <v>6.5</v>
      </c>
      <c r="C1649">
        <v>6.55</v>
      </c>
      <c r="D1649">
        <v>6.8</v>
      </c>
      <c r="E1649">
        <v>6.95</v>
      </c>
      <c r="F1649">
        <v>3.48</v>
      </c>
      <c r="G1649">
        <v>3.93</v>
      </c>
      <c r="H1649">
        <v>4.28</v>
      </c>
      <c r="I1649">
        <v>4.1500000000000004</v>
      </c>
      <c r="J1649">
        <v>3.85</v>
      </c>
      <c r="K1649">
        <v>0.2</v>
      </c>
    </row>
    <row r="1650" spans="1:11" x14ac:dyDescent="0.35">
      <c r="A1650" s="204">
        <v>35921</v>
      </c>
      <c r="B1650" s="544">
        <v>6.5</v>
      </c>
      <c r="C1650">
        <v>6.55</v>
      </c>
      <c r="D1650">
        <v>6.8</v>
      </c>
      <c r="E1650">
        <v>6.95</v>
      </c>
      <c r="F1650">
        <v>3.73</v>
      </c>
      <c r="G1650">
        <v>4.13</v>
      </c>
      <c r="H1650">
        <v>4.4800000000000004</v>
      </c>
      <c r="I1650">
        <v>4.3499999999999996</v>
      </c>
      <c r="J1650">
        <v>3.85</v>
      </c>
      <c r="K1650">
        <v>0.2</v>
      </c>
    </row>
    <row r="1651" spans="1:11" x14ac:dyDescent="0.35">
      <c r="A1651" s="204">
        <v>35928</v>
      </c>
      <c r="B1651" s="544">
        <v>6.5</v>
      </c>
      <c r="C1651">
        <v>6.55</v>
      </c>
      <c r="D1651">
        <v>6.8</v>
      </c>
      <c r="E1651">
        <v>6.95</v>
      </c>
      <c r="F1651">
        <v>3.73</v>
      </c>
      <c r="G1651">
        <v>4.13</v>
      </c>
      <c r="H1651">
        <v>4.4800000000000004</v>
      </c>
      <c r="I1651">
        <v>4.3499999999999996</v>
      </c>
      <c r="J1651">
        <v>3.76</v>
      </c>
      <c r="K1651">
        <v>0.2</v>
      </c>
    </row>
    <row r="1652" spans="1:11" x14ac:dyDescent="0.35">
      <c r="A1652" s="204">
        <v>35935</v>
      </c>
      <c r="B1652" s="544">
        <v>6.5</v>
      </c>
      <c r="C1652">
        <v>6.55</v>
      </c>
      <c r="D1652">
        <v>6.8</v>
      </c>
      <c r="E1652">
        <v>6.95</v>
      </c>
      <c r="F1652">
        <v>3.73</v>
      </c>
      <c r="G1652">
        <v>4.13</v>
      </c>
      <c r="H1652">
        <v>4.4800000000000004</v>
      </c>
      <c r="I1652">
        <v>4.3499999999999996</v>
      </c>
      <c r="J1652">
        <v>3.76</v>
      </c>
      <c r="K1652">
        <v>0.2</v>
      </c>
    </row>
    <row r="1653" spans="1:11" x14ac:dyDescent="0.35">
      <c r="A1653" s="204">
        <v>35942</v>
      </c>
      <c r="B1653" s="544">
        <v>6.5</v>
      </c>
      <c r="C1653">
        <v>6.55</v>
      </c>
      <c r="D1653">
        <v>6.8</v>
      </c>
      <c r="E1653">
        <v>6.95</v>
      </c>
      <c r="F1653">
        <v>3.73</v>
      </c>
      <c r="G1653">
        <v>4.13</v>
      </c>
      <c r="H1653">
        <v>4.4800000000000004</v>
      </c>
      <c r="I1653">
        <v>4.3499999999999996</v>
      </c>
      <c r="J1653">
        <v>3.77</v>
      </c>
      <c r="K1653">
        <v>0.2</v>
      </c>
    </row>
    <row r="1654" spans="1:11" x14ac:dyDescent="0.35">
      <c r="A1654" s="204">
        <v>35949</v>
      </c>
      <c r="B1654" s="544">
        <v>6.5</v>
      </c>
      <c r="C1654">
        <v>6.55</v>
      </c>
      <c r="D1654">
        <v>6.8</v>
      </c>
      <c r="E1654">
        <v>6.95</v>
      </c>
      <c r="F1654">
        <v>3.73</v>
      </c>
      <c r="G1654">
        <v>4.13</v>
      </c>
      <c r="H1654">
        <v>4.4800000000000004</v>
      </c>
      <c r="I1654">
        <v>4.3499999999999996</v>
      </c>
      <c r="J1654">
        <v>3.77</v>
      </c>
      <c r="K1654">
        <v>0.2</v>
      </c>
    </row>
    <row r="1655" spans="1:11" x14ac:dyDescent="0.35">
      <c r="A1655" s="204">
        <v>35956</v>
      </c>
      <c r="B1655" s="544">
        <v>6.5</v>
      </c>
      <c r="C1655">
        <v>6.55</v>
      </c>
      <c r="D1655">
        <v>6.8</v>
      </c>
      <c r="E1655">
        <v>6.95</v>
      </c>
      <c r="F1655">
        <v>3.73</v>
      </c>
      <c r="G1655">
        <v>4.13</v>
      </c>
      <c r="H1655">
        <v>4.4800000000000004</v>
      </c>
      <c r="I1655">
        <v>4.3499999999999996</v>
      </c>
      <c r="J1655">
        <v>3.7</v>
      </c>
      <c r="K1655">
        <v>0.2</v>
      </c>
    </row>
    <row r="1656" spans="1:11" x14ac:dyDescent="0.35">
      <c r="A1656" s="204">
        <v>35963</v>
      </c>
      <c r="B1656" s="544">
        <v>6.5</v>
      </c>
      <c r="C1656">
        <v>6.55</v>
      </c>
      <c r="D1656">
        <v>6.8</v>
      </c>
      <c r="E1656">
        <v>6.95</v>
      </c>
      <c r="F1656">
        <v>3.73</v>
      </c>
      <c r="G1656">
        <v>4.13</v>
      </c>
      <c r="H1656">
        <v>4.4800000000000004</v>
      </c>
      <c r="I1656">
        <v>4.3499999999999996</v>
      </c>
      <c r="J1656">
        <v>3.7</v>
      </c>
      <c r="K1656">
        <v>0.2</v>
      </c>
    </row>
    <row r="1657" spans="1:11" x14ac:dyDescent="0.35">
      <c r="A1657" s="204">
        <v>35970</v>
      </c>
      <c r="B1657" s="544">
        <v>6.5</v>
      </c>
      <c r="C1657">
        <v>6.55</v>
      </c>
      <c r="D1657">
        <v>6.8</v>
      </c>
      <c r="E1657">
        <v>6.95</v>
      </c>
      <c r="F1657">
        <v>3.73</v>
      </c>
      <c r="G1657">
        <v>4.13</v>
      </c>
      <c r="H1657">
        <v>4.4800000000000004</v>
      </c>
      <c r="I1657">
        <v>4.3499999999999996</v>
      </c>
      <c r="J1657">
        <v>3.9</v>
      </c>
      <c r="K1657">
        <v>0.2</v>
      </c>
    </row>
    <row r="1658" spans="1:11" x14ac:dyDescent="0.35">
      <c r="A1658" s="204">
        <v>35977</v>
      </c>
      <c r="B1658" s="544">
        <v>6.5</v>
      </c>
      <c r="C1658">
        <v>6.55</v>
      </c>
      <c r="D1658">
        <v>6.8</v>
      </c>
      <c r="E1658">
        <v>6.95</v>
      </c>
      <c r="F1658">
        <v>3.73</v>
      </c>
      <c r="G1658">
        <v>4.13</v>
      </c>
      <c r="H1658">
        <v>4.4800000000000004</v>
      </c>
      <c r="I1658">
        <v>4.3499999999999996</v>
      </c>
      <c r="J1658">
        <v>3.9</v>
      </c>
      <c r="K1658">
        <v>0.2</v>
      </c>
    </row>
    <row r="1659" spans="1:11" x14ac:dyDescent="0.35">
      <c r="A1659" s="204">
        <v>35984</v>
      </c>
      <c r="B1659" s="544">
        <v>6.5</v>
      </c>
      <c r="C1659">
        <v>6.55</v>
      </c>
      <c r="D1659">
        <v>6.8</v>
      </c>
      <c r="E1659">
        <v>6.95</v>
      </c>
      <c r="F1659">
        <v>3.73</v>
      </c>
      <c r="G1659">
        <v>4.13</v>
      </c>
      <c r="H1659">
        <v>4.4800000000000004</v>
      </c>
      <c r="I1659">
        <v>4.3499999999999996</v>
      </c>
      <c r="J1659">
        <v>3.82</v>
      </c>
      <c r="K1659">
        <v>0.2</v>
      </c>
    </row>
    <row r="1660" spans="1:11" x14ac:dyDescent="0.35">
      <c r="A1660" s="204">
        <v>35991</v>
      </c>
      <c r="B1660" s="544">
        <v>6.5</v>
      </c>
      <c r="C1660">
        <v>6.55</v>
      </c>
      <c r="D1660">
        <v>6.8</v>
      </c>
      <c r="E1660">
        <v>6.95</v>
      </c>
      <c r="F1660">
        <v>3.73</v>
      </c>
      <c r="G1660">
        <v>4.13</v>
      </c>
      <c r="H1660">
        <v>4.4800000000000004</v>
      </c>
      <c r="I1660">
        <v>4.3499999999999996</v>
      </c>
      <c r="J1660">
        <v>3.82</v>
      </c>
      <c r="K1660">
        <v>0.2</v>
      </c>
    </row>
    <row r="1661" spans="1:11" x14ac:dyDescent="0.35">
      <c r="A1661" s="204">
        <v>35998</v>
      </c>
      <c r="B1661" s="544">
        <v>6.5</v>
      </c>
      <c r="C1661">
        <v>6.55</v>
      </c>
      <c r="D1661">
        <v>6.8</v>
      </c>
      <c r="E1661">
        <v>6.95</v>
      </c>
      <c r="F1661">
        <v>3.73</v>
      </c>
      <c r="G1661">
        <v>4.13</v>
      </c>
      <c r="H1661">
        <v>4.4800000000000004</v>
      </c>
      <c r="I1661">
        <v>4.3499999999999996</v>
      </c>
      <c r="J1661">
        <v>3.95</v>
      </c>
      <c r="K1661">
        <v>0.2</v>
      </c>
    </row>
    <row r="1662" spans="1:11" x14ac:dyDescent="0.35">
      <c r="A1662" s="204">
        <v>36005</v>
      </c>
      <c r="B1662" s="544">
        <v>6.5</v>
      </c>
      <c r="C1662">
        <v>6.55</v>
      </c>
      <c r="D1662">
        <v>6.8</v>
      </c>
      <c r="E1662">
        <v>6.95</v>
      </c>
      <c r="F1662">
        <v>3.73</v>
      </c>
      <c r="G1662">
        <v>4.13</v>
      </c>
      <c r="H1662">
        <v>4.4800000000000004</v>
      </c>
      <c r="I1662">
        <v>4.3499999999999996</v>
      </c>
      <c r="J1662">
        <v>3.95</v>
      </c>
      <c r="K1662">
        <v>0.2</v>
      </c>
    </row>
    <row r="1663" spans="1:11" x14ac:dyDescent="0.35">
      <c r="A1663" s="204">
        <v>36012</v>
      </c>
      <c r="B1663" s="544">
        <v>6.5</v>
      </c>
      <c r="C1663">
        <v>6.75</v>
      </c>
      <c r="D1663">
        <v>7</v>
      </c>
      <c r="E1663">
        <v>7.15</v>
      </c>
      <c r="F1663">
        <v>3.73</v>
      </c>
      <c r="G1663">
        <v>4.13</v>
      </c>
      <c r="H1663">
        <v>4.4800000000000004</v>
      </c>
      <c r="I1663">
        <v>4.3499999999999996</v>
      </c>
      <c r="J1663">
        <v>3.95</v>
      </c>
      <c r="K1663">
        <v>0.2</v>
      </c>
    </row>
    <row r="1664" spans="1:11" x14ac:dyDescent="0.35">
      <c r="A1664" s="204">
        <v>36019</v>
      </c>
      <c r="B1664" s="544">
        <v>6.5</v>
      </c>
      <c r="C1664">
        <v>6.75</v>
      </c>
      <c r="D1664">
        <v>7</v>
      </c>
      <c r="E1664">
        <v>7.15</v>
      </c>
      <c r="F1664">
        <v>3.93</v>
      </c>
      <c r="G1664">
        <v>4.33</v>
      </c>
      <c r="H1664">
        <v>4.68</v>
      </c>
      <c r="I1664">
        <v>4.55</v>
      </c>
      <c r="J1664">
        <v>4.09</v>
      </c>
      <c r="K1664">
        <v>0.2</v>
      </c>
    </row>
    <row r="1665" spans="1:11" x14ac:dyDescent="0.35">
      <c r="A1665" s="204">
        <v>36026</v>
      </c>
      <c r="B1665" s="544">
        <v>6.5</v>
      </c>
      <c r="C1665">
        <v>6.75</v>
      </c>
      <c r="D1665">
        <v>7</v>
      </c>
      <c r="E1665">
        <v>7.15</v>
      </c>
      <c r="F1665">
        <v>3.93</v>
      </c>
      <c r="G1665">
        <v>4.33</v>
      </c>
      <c r="H1665">
        <v>4.68</v>
      </c>
      <c r="I1665">
        <v>4.55</v>
      </c>
      <c r="J1665">
        <v>3.9</v>
      </c>
      <c r="K1665">
        <v>0.2</v>
      </c>
    </row>
    <row r="1666" spans="1:11" x14ac:dyDescent="0.35">
      <c r="A1666" s="204">
        <v>36033</v>
      </c>
      <c r="B1666" s="544">
        <v>6.5</v>
      </c>
      <c r="C1666">
        <v>6.75</v>
      </c>
      <c r="D1666">
        <v>7</v>
      </c>
      <c r="E1666">
        <v>7.15</v>
      </c>
      <c r="F1666">
        <v>3.93</v>
      </c>
      <c r="G1666">
        <v>4.33</v>
      </c>
      <c r="H1666">
        <v>4.68</v>
      </c>
      <c r="I1666">
        <v>4.55</v>
      </c>
      <c r="J1666">
        <v>3.9</v>
      </c>
      <c r="K1666">
        <v>0.2</v>
      </c>
    </row>
    <row r="1667" spans="1:11" x14ac:dyDescent="0.35">
      <c r="A1667" s="204">
        <v>36040</v>
      </c>
      <c r="B1667" s="544">
        <v>7.5</v>
      </c>
      <c r="C1667">
        <v>7.45</v>
      </c>
      <c r="D1667">
        <v>7.55</v>
      </c>
      <c r="E1667">
        <v>7.55</v>
      </c>
      <c r="F1667">
        <v>4.63</v>
      </c>
      <c r="G1667">
        <v>4.88</v>
      </c>
      <c r="H1667">
        <v>5.08</v>
      </c>
      <c r="I1667">
        <v>4.95</v>
      </c>
      <c r="J1667">
        <v>4.66</v>
      </c>
      <c r="K1667">
        <v>0.2</v>
      </c>
    </row>
    <row r="1668" spans="1:11" x14ac:dyDescent="0.35">
      <c r="A1668" s="204">
        <v>36047</v>
      </c>
      <c r="B1668" s="544">
        <v>7.5</v>
      </c>
      <c r="C1668">
        <v>7.45</v>
      </c>
      <c r="D1668">
        <v>7.55</v>
      </c>
      <c r="E1668">
        <v>7.55</v>
      </c>
      <c r="F1668">
        <v>4.63</v>
      </c>
      <c r="G1668">
        <v>4.88</v>
      </c>
      <c r="H1668">
        <v>5.08</v>
      </c>
      <c r="I1668">
        <v>4.95</v>
      </c>
      <c r="J1668">
        <v>4.66</v>
      </c>
      <c r="K1668">
        <v>0.2</v>
      </c>
    </row>
    <row r="1669" spans="1:11" x14ac:dyDescent="0.35">
      <c r="A1669" s="204">
        <v>36054</v>
      </c>
      <c r="B1669" s="544">
        <v>7.5</v>
      </c>
      <c r="C1669">
        <v>6.95</v>
      </c>
      <c r="D1669">
        <v>7.15</v>
      </c>
      <c r="E1669">
        <v>7.3</v>
      </c>
      <c r="F1669">
        <v>4.38</v>
      </c>
      <c r="G1669">
        <v>4.68</v>
      </c>
      <c r="H1669">
        <v>4.93</v>
      </c>
      <c r="I1669">
        <v>4.8</v>
      </c>
      <c r="J1669">
        <v>4.17</v>
      </c>
      <c r="K1669">
        <v>0.2</v>
      </c>
    </row>
    <row r="1670" spans="1:11" x14ac:dyDescent="0.35">
      <c r="A1670" s="204">
        <v>36061</v>
      </c>
      <c r="B1670" s="544">
        <v>7.5</v>
      </c>
      <c r="C1670">
        <v>6.95</v>
      </c>
      <c r="D1670">
        <v>7.15</v>
      </c>
      <c r="E1670">
        <v>7.3</v>
      </c>
      <c r="F1670">
        <v>4.13</v>
      </c>
      <c r="G1670">
        <v>4.4800000000000004</v>
      </c>
      <c r="H1670">
        <v>4.78</v>
      </c>
      <c r="I1670">
        <v>4.6500000000000004</v>
      </c>
      <c r="J1670">
        <v>4.17</v>
      </c>
      <c r="K1670">
        <v>0.2</v>
      </c>
    </row>
    <row r="1671" spans="1:11" x14ac:dyDescent="0.35">
      <c r="A1671" s="204">
        <v>36068</v>
      </c>
      <c r="B1671" s="544">
        <v>7.25</v>
      </c>
      <c r="C1671">
        <v>6.75</v>
      </c>
      <c r="D1671">
        <v>7</v>
      </c>
      <c r="E1671">
        <v>7.15</v>
      </c>
      <c r="F1671">
        <v>3.73</v>
      </c>
      <c r="G1671">
        <v>4.08</v>
      </c>
      <c r="H1671">
        <v>4.38</v>
      </c>
      <c r="I1671">
        <v>4.25</v>
      </c>
      <c r="J1671">
        <v>3.96</v>
      </c>
      <c r="K1671">
        <v>0.2</v>
      </c>
    </row>
    <row r="1672" spans="1:11" x14ac:dyDescent="0.35">
      <c r="A1672" s="204">
        <v>36075</v>
      </c>
      <c r="B1672" s="544">
        <v>7.25</v>
      </c>
      <c r="C1672">
        <v>6.5</v>
      </c>
      <c r="D1672">
        <v>6.6</v>
      </c>
      <c r="E1672">
        <v>6.75</v>
      </c>
      <c r="F1672">
        <v>3.73</v>
      </c>
      <c r="G1672">
        <v>4.08</v>
      </c>
      <c r="H1672">
        <v>4.38</v>
      </c>
      <c r="I1672">
        <v>4.25</v>
      </c>
      <c r="J1672">
        <v>3.96</v>
      </c>
      <c r="K1672">
        <v>0.2</v>
      </c>
    </row>
    <row r="1673" spans="1:11" x14ac:dyDescent="0.35">
      <c r="A1673" s="204">
        <v>36082</v>
      </c>
      <c r="B1673" s="544">
        <v>7.25</v>
      </c>
      <c r="C1673">
        <v>6.5</v>
      </c>
      <c r="D1673">
        <v>6.6</v>
      </c>
      <c r="E1673">
        <v>6.75</v>
      </c>
      <c r="F1673">
        <v>3.63</v>
      </c>
      <c r="G1673">
        <v>3.83</v>
      </c>
      <c r="H1673">
        <v>4.13</v>
      </c>
      <c r="I1673">
        <v>4</v>
      </c>
      <c r="J1673">
        <v>3.69</v>
      </c>
      <c r="K1673">
        <v>0.2</v>
      </c>
    </row>
    <row r="1674" spans="1:11" x14ac:dyDescent="0.35">
      <c r="A1674" s="204">
        <v>36089</v>
      </c>
      <c r="B1674" s="544">
        <v>7</v>
      </c>
      <c r="C1674">
        <v>6.5</v>
      </c>
      <c r="D1674">
        <v>6.6</v>
      </c>
      <c r="E1674">
        <v>6.75</v>
      </c>
      <c r="F1674">
        <v>3.63</v>
      </c>
      <c r="G1674">
        <v>3.83</v>
      </c>
      <c r="H1674">
        <v>4.13</v>
      </c>
      <c r="I1674">
        <v>4</v>
      </c>
      <c r="J1674">
        <v>3.69</v>
      </c>
      <c r="K1674">
        <v>0.2</v>
      </c>
    </row>
    <row r="1675" spans="1:11" x14ac:dyDescent="0.35">
      <c r="A1675" s="204">
        <v>36096</v>
      </c>
      <c r="B1675" s="544">
        <v>7</v>
      </c>
      <c r="C1675">
        <v>6.5</v>
      </c>
      <c r="D1675">
        <v>6.6</v>
      </c>
      <c r="E1675">
        <v>6.75</v>
      </c>
      <c r="F1675">
        <v>3.63</v>
      </c>
      <c r="G1675">
        <v>3.83</v>
      </c>
      <c r="H1675">
        <v>4.13</v>
      </c>
      <c r="I1675">
        <v>4</v>
      </c>
      <c r="J1675">
        <v>3.76</v>
      </c>
      <c r="K1675">
        <v>0.2</v>
      </c>
    </row>
    <row r="1676" spans="1:11" x14ac:dyDescent="0.35">
      <c r="A1676" s="204">
        <v>36103</v>
      </c>
      <c r="B1676" s="544">
        <v>7</v>
      </c>
      <c r="C1676">
        <v>6.5</v>
      </c>
      <c r="D1676">
        <v>6.6</v>
      </c>
      <c r="E1676">
        <v>6.75</v>
      </c>
      <c r="F1676">
        <v>3.63</v>
      </c>
      <c r="G1676">
        <v>3.83</v>
      </c>
      <c r="H1676">
        <v>4.13</v>
      </c>
      <c r="I1676">
        <v>4</v>
      </c>
      <c r="J1676">
        <v>3.76</v>
      </c>
      <c r="K1676">
        <v>0.2</v>
      </c>
    </row>
    <row r="1677" spans="1:11" x14ac:dyDescent="0.35">
      <c r="A1677" s="204">
        <v>36110</v>
      </c>
      <c r="B1677" s="544">
        <v>7</v>
      </c>
      <c r="C1677">
        <v>6.4</v>
      </c>
      <c r="D1677">
        <v>6.85</v>
      </c>
      <c r="E1677">
        <v>7.15</v>
      </c>
      <c r="F1677">
        <v>3.63</v>
      </c>
      <c r="G1677">
        <v>3.83</v>
      </c>
      <c r="H1677">
        <v>4.13</v>
      </c>
      <c r="I1677">
        <v>4</v>
      </c>
      <c r="J1677">
        <v>3.76</v>
      </c>
      <c r="K1677">
        <v>0.2</v>
      </c>
    </row>
    <row r="1678" spans="1:11" x14ac:dyDescent="0.35">
      <c r="A1678" s="204">
        <v>36117</v>
      </c>
      <c r="B1678" s="544">
        <v>7</v>
      </c>
      <c r="C1678">
        <v>6.4</v>
      </c>
      <c r="D1678">
        <v>6.85</v>
      </c>
      <c r="E1678">
        <v>7.15</v>
      </c>
      <c r="F1678">
        <v>3.53</v>
      </c>
      <c r="G1678">
        <v>4.08</v>
      </c>
      <c r="H1678">
        <v>4.53</v>
      </c>
      <c r="I1678">
        <v>4.4000000000000004</v>
      </c>
      <c r="J1678">
        <v>3.88</v>
      </c>
      <c r="K1678">
        <v>0.2</v>
      </c>
    </row>
    <row r="1679" spans="1:11" x14ac:dyDescent="0.35">
      <c r="A1679" s="204">
        <v>36124</v>
      </c>
      <c r="B1679" s="544">
        <v>6.75</v>
      </c>
      <c r="C1679">
        <v>6.4</v>
      </c>
      <c r="D1679">
        <v>6.85</v>
      </c>
      <c r="E1679">
        <v>7.15</v>
      </c>
      <c r="F1679">
        <v>3.53</v>
      </c>
      <c r="G1679">
        <v>4.08</v>
      </c>
      <c r="H1679">
        <v>4.53</v>
      </c>
      <c r="I1679">
        <v>4.4000000000000004</v>
      </c>
      <c r="J1679">
        <v>3.84</v>
      </c>
      <c r="K1679">
        <v>0.2</v>
      </c>
    </row>
    <row r="1680" spans="1:11" x14ac:dyDescent="0.35">
      <c r="A1680" s="204">
        <v>36131</v>
      </c>
      <c r="B1680" s="544">
        <v>6.75</v>
      </c>
      <c r="C1680">
        <v>6.4</v>
      </c>
      <c r="D1680">
        <v>6.65</v>
      </c>
      <c r="E1680">
        <v>6.8</v>
      </c>
      <c r="F1680">
        <v>3.53</v>
      </c>
      <c r="G1680">
        <v>3.88</v>
      </c>
      <c r="H1680">
        <v>4.53</v>
      </c>
      <c r="I1680">
        <v>4.05</v>
      </c>
      <c r="J1680">
        <v>3.84</v>
      </c>
      <c r="K1680">
        <v>0.2</v>
      </c>
    </row>
    <row r="1681" spans="1:11" x14ac:dyDescent="0.35">
      <c r="A1681" s="204">
        <v>36138</v>
      </c>
      <c r="B1681" s="544">
        <v>6.75</v>
      </c>
      <c r="C1681">
        <v>6.4</v>
      </c>
      <c r="D1681">
        <v>6.65</v>
      </c>
      <c r="E1681">
        <v>6.8</v>
      </c>
      <c r="F1681">
        <v>3.53</v>
      </c>
      <c r="G1681">
        <v>3.88</v>
      </c>
      <c r="H1681">
        <v>4.18</v>
      </c>
      <c r="I1681">
        <v>4.05</v>
      </c>
      <c r="J1681">
        <v>3.71</v>
      </c>
      <c r="K1681">
        <v>0.2</v>
      </c>
    </row>
    <row r="1682" spans="1:11" x14ac:dyDescent="0.35">
      <c r="A1682" s="204">
        <v>36145</v>
      </c>
      <c r="B1682" s="544">
        <v>6.75</v>
      </c>
      <c r="C1682">
        <v>6.4</v>
      </c>
      <c r="D1682">
        <v>6.65</v>
      </c>
      <c r="E1682">
        <v>6.8</v>
      </c>
      <c r="F1682">
        <v>3.53</v>
      </c>
      <c r="G1682">
        <v>3.88</v>
      </c>
      <c r="H1682">
        <v>4.18</v>
      </c>
      <c r="I1682">
        <v>4.05</v>
      </c>
      <c r="J1682">
        <v>3.71</v>
      </c>
      <c r="K1682">
        <v>0.2</v>
      </c>
    </row>
    <row r="1683" spans="1:11" x14ac:dyDescent="0.35">
      <c r="A1683" s="204">
        <v>36152</v>
      </c>
      <c r="B1683" s="544">
        <v>6.75</v>
      </c>
      <c r="C1683">
        <v>6.2</v>
      </c>
      <c r="D1683">
        <v>6.45</v>
      </c>
      <c r="E1683">
        <v>6.6</v>
      </c>
      <c r="F1683">
        <v>3.33</v>
      </c>
      <c r="G1683">
        <v>3.68</v>
      </c>
      <c r="H1683">
        <v>3.98</v>
      </c>
      <c r="I1683">
        <v>3.85</v>
      </c>
      <c r="J1683">
        <v>3.71</v>
      </c>
      <c r="K1683">
        <v>0.1</v>
      </c>
    </row>
    <row r="1684" spans="1:11" x14ac:dyDescent="0.35">
      <c r="A1684" s="204">
        <v>36159</v>
      </c>
      <c r="B1684" s="544">
        <v>6.75</v>
      </c>
      <c r="C1684">
        <v>6.2</v>
      </c>
      <c r="D1684">
        <v>6.45</v>
      </c>
      <c r="E1684">
        <v>6.6</v>
      </c>
      <c r="F1684">
        <v>3.33</v>
      </c>
      <c r="G1684">
        <v>3.68</v>
      </c>
      <c r="H1684">
        <v>3.98</v>
      </c>
      <c r="I1684">
        <v>3.85</v>
      </c>
      <c r="J1684">
        <v>3.72</v>
      </c>
      <c r="K1684">
        <v>0.1</v>
      </c>
    </row>
    <row r="1685" spans="1:11" x14ac:dyDescent="0.35">
      <c r="A1685" s="204">
        <v>36166</v>
      </c>
      <c r="B1685" s="544">
        <v>6.75</v>
      </c>
      <c r="C1685">
        <v>6.2</v>
      </c>
      <c r="D1685">
        <v>6.45</v>
      </c>
      <c r="E1685">
        <v>6.6</v>
      </c>
      <c r="F1685">
        <v>3.33</v>
      </c>
      <c r="G1685">
        <v>3.68</v>
      </c>
      <c r="H1685">
        <v>3.98</v>
      </c>
      <c r="I1685">
        <v>3.85</v>
      </c>
      <c r="J1685">
        <v>3.63</v>
      </c>
      <c r="K1685">
        <v>0.1</v>
      </c>
    </row>
    <row r="1686" spans="1:11" x14ac:dyDescent="0.35">
      <c r="A1686" s="204">
        <v>36173</v>
      </c>
      <c r="B1686" s="544">
        <v>6.75</v>
      </c>
      <c r="C1686">
        <v>6.4</v>
      </c>
      <c r="D1686">
        <v>6.75</v>
      </c>
      <c r="E1686">
        <v>6.9</v>
      </c>
      <c r="F1686">
        <v>3.33</v>
      </c>
      <c r="G1686">
        <v>3.68</v>
      </c>
      <c r="H1686">
        <v>3.98</v>
      </c>
      <c r="I1686">
        <v>3.85</v>
      </c>
      <c r="J1686">
        <v>3.63</v>
      </c>
      <c r="K1686">
        <v>0.1</v>
      </c>
    </row>
    <row r="1687" spans="1:11" x14ac:dyDescent="0.35">
      <c r="A1687" s="204">
        <v>36180</v>
      </c>
      <c r="B1687" s="544">
        <v>6.75</v>
      </c>
      <c r="C1687">
        <v>6.4</v>
      </c>
      <c r="D1687">
        <v>6.75</v>
      </c>
      <c r="E1687">
        <v>6.9</v>
      </c>
      <c r="F1687">
        <v>3.53</v>
      </c>
      <c r="G1687">
        <v>3.88</v>
      </c>
      <c r="H1687">
        <v>4.18</v>
      </c>
      <c r="I1687">
        <v>4.05</v>
      </c>
      <c r="J1687">
        <v>3.68</v>
      </c>
      <c r="K1687">
        <v>0.1</v>
      </c>
    </row>
    <row r="1688" spans="1:11" x14ac:dyDescent="0.35">
      <c r="A1688" s="204">
        <v>36187</v>
      </c>
      <c r="B1688" s="544">
        <v>6.75</v>
      </c>
      <c r="C1688">
        <v>6.4</v>
      </c>
      <c r="D1688">
        <v>6.75</v>
      </c>
      <c r="E1688">
        <v>6.9</v>
      </c>
      <c r="F1688">
        <v>3.53</v>
      </c>
      <c r="G1688">
        <v>3.88</v>
      </c>
      <c r="H1688">
        <v>4.18</v>
      </c>
      <c r="I1688">
        <v>4.05</v>
      </c>
      <c r="J1688">
        <v>3.68</v>
      </c>
      <c r="K1688">
        <v>0.1</v>
      </c>
    </row>
    <row r="1689" spans="1:11" x14ac:dyDescent="0.35">
      <c r="A1689" s="204">
        <v>36194</v>
      </c>
      <c r="B1689" s="544">
        <v>6.75</v>
      </c>
      <c r="C1689">
        <v>6.4</v>
      </c>
      <c r="D1689">
        <v>6.75</v>
      </c>
      <c r="E1689">
        <v>6.9</v>
      </c>
      <c r="F1689">
        <v>3.53</v>
      </c>
      <c r="G1689">
        <v>3.88</v>
      </c>
      <c r="H1689">
        <v>4.18</v>
      </c>
      <c r="I1689">
        <v>4.05</v>
      </c>
      <c r="J1689">
        <v>3.76</v>
      </c>
      <c r="K1689">
        <v>0.1</v>
      </c>
    </row>
    <row r="1690" spans="1:11" x14ac:dyDescent="0.35">
      <c r="A1690" s="204">
        <v>36201</v>
      </c>
      <c r="B1690" s="544">
        <v>6.75</v>
      </c>
      <c r="C1690">
        <v>6.4</v>
      </c>
      <c r="D1690">
        <v>6.75</v>
      </c>
      <c r="E1690">
        <v>6.9</v>
      </c>
      <c r="F1690">
        <v>3.53</v>
      </c>
      <c r="G1690">
        <v>3.88</v>
      </c>
      <c r="H1690">
        <v>4.18</v>
      </c>
      <c r="I1690">
        <v>4.05</v>
      </c>
      <c r="J1690">
        <v>3.76</v>
      </c>
      <c r="K1690">
        <v>0.1</v>
      </c>
    </row>
    <row r="1691" spans="1:11" x14ac:dyDescent="0.35">
      <c r="A1691" s="204">
        <v>36208</v>
      </c>
      <c r="B1691" s="544">
        <v>6.75</v>
      </c>
      <c r="C1691">
        <v>6.4</v>
      </c>
      <c r="D1691">
        <v>6.75</v>
      </c>
      <c r="E1691">
        <v>6.9</v>
      </c>
      <c r="F1691">
        <v>3.53</v>
      </c>
      <c r="G1691">
        <v>3.88</v>
      </c>
      <c r="H1691">
        <v>4.18</v>
      </c>
      <c r="I1691">
        <v>4.05</v>
      </c>
      <c r="J1691">
        <v>3.86</v>
      </c>
      <c r="K1691">
        <v>0.1</v>
      </c>
    </row>
    <row r="1692" spans="1:11" x14ac:dyDescent="0.35">
      <c r="A1692" s="204">
        <v>36215</v>
      </c>
      <c r="B1692" s="544">
        <v>6.75</v>
      </c>
      <c r="C1692">
        <v>6.4</v>
      </c>
      <c r="D1692">
        <v>6.75</v>
      </c>
      <c r="E1692">
        <v>6.9</v>
      </c>
      <c r="F1692">
        <v>3.53</v>
      </c>
      <c r="G1692">
        <v>3.88</v>
      </c>
      <c r="H1692">
        <v>4.18</v>
      </c>
      <c r="I1692">
        <v>4.05</v>
      </c>
      <c r="J1692">
        <v>3.86</v>
      </c>
      <c r="K1692">
        <v>0.1</v>
      </c>
    </row>
    <row r="1693" spans="1:11" x14ac:dyDescent="0.35">
      <c r="A1693" s="204">
        <v>36222</v>
      </c>
      <c r="B1693" s="544">
        <v>6.75</v>
      </c>
      <c r="C1693">
        <v>6.6</v>
      </c>
      <c r="D1693">
        <v>7</v>
      </c>
      <c r="E1693">
        <v>7.15</v>
      </c>
      <c r="F1693">
        <v>3.73</v>
      </c>
      <c r="G1693">
        <v>4.13</v>
      </c>
      <c r="H1693">
        <v>4.43</v>
      </c>
      <c r="I1693">
        <v>4.3</v>
      </c>
      <c r="J1693">
        <v>4.01</v>
      </c>
      <c r="K1693">
        <v>0.1</v>
      </c>
    </row>
    <row r="1694" spans="1:11" x14ac:dyDescent="0.35">
      <c r="A1694" s="204">
        <v>36229</v>
      </c>
      <c r="B1694" s="544">
        <v>6.75</v>
      </c>
      <c r="C1694">
        <v>6.6</v>
      </c>
      <c r="D1694">
        <v>7</v>
      </c>
      <c r="E1694">
        <v>7.15</v>
      </c>
      <c r="F1694">
        <v>3.73</v>
      </c>
      <c r="G1694">
        <v>4.13</v>
      </c>
      <c r="H1694">
        <v>4.43</v>
      </c>
      <c r="I1694">
        <v>4.3</v>
      </c>
      <c r="J1694">
        <v>4.01</v>
      </c>
      <c r="K1694">
        <v>0.1</v>
      </c>
    </row>
    <row r="1695" spans="1:11" x14ac:dyDescent="0.35">
      <c r="A1695" s="204">
        <v>36236</v>
      </c>
      <c r="B1695" s="544">
        <v>6.75</v>
      </c>
      <c r="C1695">
        <v>6.6</v>
      </c>
      <c r="D1695">
        <v>7</v>
      </c>
      <c r="E1695">
        <v>7.15</v>
      </c>
      <c r="F1695">
        <v>3.73</v>
      </c>
      <c r="G1695">
        <v>4.13</v>
      </c>
      <c r="H1695">
        <v>4.43</v>
      </c>
      <c r="I1695">
        <v>4.3</v>
      </c>
      <c r="J1695">
        <v>3.91</v>
      </c>
      <c r="K1695">
        <v>0.1</v>
      </c>
    </row>
    <row r="1696" spans="1:11" x14ac:dyDescent="0.35">
      <c r="A1696" s="204">
        <v>36243</v>
      </c>
      <c r="B1696" s="544">
        <v>6.75</v>
      </c>
      <c r="C1696">
        <v>6.6</v>
      </c>
      <c r="D1696">
        <v>7</v>
      </c>
      <c r="E1696">
        <v>7.15</v>
      </c>
      <c r="F1696">
        <v>3.73</v>
      </c>
      <c r="G1696">
        <v>4.13</v>
      </c>
      <c r="H1696">
        <v>4.43</v>
      </c>
      <c r="I1696">
        <v>4.3</v>
      </c>
      <c r="J1696">
        <v>3.91</v>
      </c>
      <c r="K1696">
        <v>0.1</v>
      </c>
    </row>
    <row r="1697" spans="1:11" x14ac:dyDescent="0.35">
      <c r="A1697" s="204">
        <v>36250</v>
      </c>
      <c r="B1697" s="544">
        <v>6.75</v>
      </c>
      <c r="C1697">
        <v>6.45</v>
      </c>
      <c r="D1697">
        <v>6.8</v>
      </c>
      <c r="E1697">
        <v>6.95</v>
      </c>
      <c r="F1697">
        <v>3.73</v>
      </c>
      <c r="G1697">
        <v>4.13</v>
      </c>
      <c r="H1697">
        <v>4.43</v>
      </c>
      <c r="I1697">
        <v>4.3</v>
      </c>
      <c r="J1697">
        <v>3.77</v>
      </c>
      <c r="K1697">
        <v>0.1</v>
      </c>
    </row>
    <row r="1698" spans="1:11" x14ac:dyDescent="0.35">
      <c r="A1698" s="204">
        <v>36257</v>
      </c>
      <c r="B1698" s="544">
        <v>6.5</v>
      </c>
      <c r="C1698">
        <v>6.45</v>
      </c>
      <c r="D1698">
        <v>6.8</v>
      </c>
      <c r="E1698">
        <v>6.95</v>
      </c>
      <c r="F1698">
        <v>3.58</v>
      </c>
      <c r="G1698">
        <v>3.93</v>
      </c>
      <c r="H1698">
        <v>4.2300000000000004</v>
      </c>
      <c r="I1698">
        <v>4.0999999999999996</v>
      </c>
      <c r="J1698">
        <v>3.77</v>
      </c>
      <c r="K1698">
        <v>0.1</v>
      </c>
    </row>
    <row r="1699" spans="1:11" x14ac:dyDescent="0.35">
      <c r="A1699" s="204">
        <v>36264</v>
      </c>
      <c r="B1699" s="544">
        <v>6.5</v>
      </c>
      <c r="C1699">
        <v>6.2</v>
      </c>
      <c r="D1699">
        <v>6.55</v>
      </c>
      <c r="E1699">
        <v>6.7</v>
      </c>
      <c r="F1699">
        <v>3.33</v>
      </c>
      <c r="G1699">
        <v>3.68</v>
      </c>
      <c r="H1699">
        <v>3.98</v>
      </c>
      <c r="I1699">
        <v>3.85</v>
      </c>
      <c r="J1699">
        <v>3.48</v>
      </c>
      <c r="K1699">
        <v>0.1</v>
      </c>
    </row>
    <row r="1700" spans="1:11" x14ac:dyDescent="0.35">
      <c r="A1700" s="204">
        <v>36271</v>
      </c>
      <c r="B1700" s="544">
        <v>6.5</v>
      </c>
      <c r="C1700">
        <v>6.2</v>
      </c>
      <c r="D1700">
        <v>6.55</v>
      </c>
      <c r="E1700">
        <v>6.7</v>
      </c>
      <c r="F1700">
        <v>3.33</v>
      </c>
      <c r="G1700">
        <v>3.68</v>
      </c>
      <c r="H1700">
        <v>3.98</v>
      </c>
      <c r="I1700">
        <v>3.85</v>
      </c>
      <c r="J1700">
        <v>3.48</v>
      </c>
      <c r="K1700">
        <v>0.1</v>
      </c>
    </row>
    <row r="1701" spans="1:11" x14ac:dyDescent="0.35">
      <c r="A1701" s="204">
        <v>36278</v>
      </c>
      <c r="B1701" s="544">
        <v>6.5</v>
      </c>
      <c r="C1701">
        <v>6.3</v>
      </c>
      <c r="D1701">
        <v>6.75</v>
      </c>
      <c r="E1701">
        <v>6.95</v>
      </c>
      <c r="F1701">
        <v>3.43</v>
      </c>
      <c r="G1701">
        <v>3.88</v>
      </c>
      <c r="H1701">
        <v>4.2300000000000004</v>
      </c>
      <c r="I1701">
        <v>4.0999999999999996</v>
      </c>
      <c r="J1701">
        <v>3.62</v>
      </c>
      <c r="K1701">
        <v>0.1</v>
      </c>
    </row>
    <row r="1702" spans="1:11" x14ac:dyDescent="0.35">
      <c r="A1702" s="204">
        <v>36285</v>
      </c>
      <c r="B1702" s="544">
        <v>6.25</v>
      </c>
      <c r="C1702">
        <v>6.3</v>
      </c>
      <c r="D1702">
        <v>6.75</v>
      </c>
      <c r="E1702">
        <v>6.95</v>
      </c>
      <c r="F1702">
        <v>3.43</v>
      </c>
      <c r="G1702">
        <v>3.88</v>
      </c>
      <c r="H1702">
        <v>4.2300000000000004</v>
      </c>
      <c r="I1702">
        <v>4.0999999999999996</v>
      </c>
      <c r="J1702">
        <v>3.62</v>
      </c>
      <c r="K1702">
        <v>0.1</v>
      </c>
    </row>
    <row r="1703" spans="1:11" x14ac:dyDescent="0.35">
      <c r="A1703" s="204">
        <v>36292</v>
      </c>
      <c r="B1703" s="544">
        <v>6.25</v>
      </c>
      <c r="C1703">
        <v>6.2</v>
      </c>
      <c r="D1703">
        <v>6.85</v>
      </c>
      <c r="E1703">
        <v>7.15</v>
      </c>
      <c r="F1703">
        <v>3.28</v>
      </c>
      <c r="G1703">
        <v>3.83</v>
      </c>
      <c r="H1703">
        <v>4.2300000000000004</v>
      </c>
      <c r="I1703">
        <v>4.0999999999999996</v>
      </c>
      <c r="J1703">
        <v>3.32</v>
      </c>
      <c r="K1703">
        <v>0.1</v>
      </c>
    </row>
    <row r="1704" spans="1:11" x14ac:dyDescent="0.35">
      <c r="A1704" s="204">
        <v>36299</v>
      </c>
      <c r="B1704" s="544">
        <v>6.25</v>
      </c>
      <c r="C1704">
        <v>6.2</v>
      </c>
      <c r="D1704">
        <v>6.85</v>
      </c>
      <c r="E1704">
        <v>7.15</v>
      </c>
      <c r="F1704">
        <v>3.28</v>
      </c>
      <c r="G1704">
        <v>3.93</v>
      </c>
      <c r="H1704">
        <v>4.43</v>
      </c>
      <c r="I1704">
        <v>4.3</v>
      </c>
      <c r="J1704">
        <v>3.32</v>
      </c>
      <c r="K1704">
        <v>0.1</v>
      </c>
    </row>
    <row r="1705" spans="1:11" x14ac:dyDescent="0.35">
      <c r="A1705" s="204">
        <v>36306</v>
      </c>
      <c r="B1705" s="544">
        <v>6.25</v>
      </c>
      <c r="C1705">
        <v>6.3</v>
      </c>
      <c r="D1705">
        <v>7</v>
      </c>
      <c r="E1705">
        <v>7.3</v>
      </c>
      <c r="F1705">
        <v>3.28</v>
      </c>
      <c r="G1705">
        <v>3.93</v>
      </c>
      <c r="H1705">
        <v>4.43</v>
      </c>
      <c r="I1705">
        <v>4.3</v>
      </c>
      <c r="J1705">
        <v>3.34</v>
      </c>
      <c r="K1705">
        <v>0.1</v>
      </c>
    </row>
    <row r="1706" spans="1:11" x14ac:dyDescent="0.35">
      <c r="A1706" s="204">
        <v>36313</v>
      </c>
      <c r="B1706" s="544">
        <v>6.25</v>
      </c>
      <c r="C1706">
        <v>6.6</v>
      </c>
      <c r="D1706">
        <v>7.2</v>
      </c>
      <c r="E1706">
        <v>7.4</v>
      </c>
      <c r="F1706">
        <v>3.68</v>
      </c>
      <c r="G1706">
        <v>4.33</v>
      </c>
      <c r="H1706">
        <v>4.68</v>
      </c>
      <c r="I1706">
        <v>4.55</v>
      </c>
      <c r="J1706">
        <v>3.34</v>
      </c>
      <c r="K1706">
        <v>0.1</v>
      </c>
    </row>
    <row r="1707" spans="1:11" x14ac:dyDescent="0.35">
      <c r="A1707" s="204">
        <v>36320</v>
      </c>
      <c r="B1707" s="544">
        <v>6.25</v>
      </c>
      <c r="C1707">
        <v>6.6</v>
      </c>
      <c r="D1707">
        <v>7.2</v>
      </c>
      <c r="E1707">
        <v>7.4</v>
      </c>
      <c r="F1707">
        <v>3.68</v>
      </c>
      <c r="G1707">
        <v>4.33</v>
      </c>
      <c r="H1707">
        <v>4.68</v>
      </c>
      <c r="I1707">
        <v>4.5</v>
      </c>
      <c r="J1707">
        <v>3.46</v>
      </c>
      <c r="K1707">
        <v>0.1</v>
      </c>
    </row>
    <row r="1708" spans="1:11" x14ac:dyDescent="0.35">
      <c r="A1708" s="204">
        <v>36327</v>
      </c>
      <c r="B1708" s="544">
        <v>6.25</v>
      </c>
      <c r="C1708">
        <v>6.75</v>
      </c>
      <c r="D1708">
        <v>7.4</v>
      </c>
      <c r="E1708">
        <v>7.65</v>
      </c>
      <c r="F1708">
        <v>3.83</v>
      </c>
      <c r="G1708">
        <v>4.4800000000000004</v>
      </c>
      <c r="H1708">
        <v>4.88</v>
      </c>
      <c r="I1708">
        <v>4.75</v>
      </c>
      <c r="J1708">
        <v>3.46</v>
      </c>
      <c r="K1708">
        <v>0.1</v>
      </c>
    </row>
    <row r="1709" spans="1:11" x14ac:dyDescent="0.35">
      <c r="A1709" s="204">
        <v>36334</v>
      </c>
      <c r="B1709" s="544">
        <v>6.25</v>
      </c>
      <c r="C1709">
        <v>6.75</v>
      </c>
      <c r="D1709">
        <v>7.2</v>
      </c>
      <c r="E1709">
        <v>7.45</v>
      </c>
      <c r="F1709">
        <v>3.83</v>
      </c>
      <c r="G1709">
        <v>4.28</v>
      </c>
      <c r="H1709">
        <v>4.68</v>
      </c>
      <c r="I1709">
        <v>4.55</v>
      </c>
      <c r="J1709">
        <v>3.54</v>
      </c>
      <c r="K1709">
        <v>0.1</v>
      </c>
    </row>
    <row r="1710" spans="1:11" x14ac:dyDescent="0.35">
      <c r="A1710" s="204">
        <v>36341</v>
      </c>
      <c r="B1710" s="544">
        <v>6.25</v>
      </c>
      <c r="C1710">
        <v>6.75</v>
      </c>
      <c r="D1710">
        <v>7.45</v>
      </c>
      <c r="E1710">
        <v>7.7</v>
      </c>
      <c r="F1710">
        <v>3.83</v>
      </c>
      <c r="G1710">
        <v>4.53</v>
      </c>
      <c r="H1710">
        <v>4.93</v>
      </c>
      <c r="I1710">
        <v>4.8</v>
      </c>
      <c r="J1710">
        <v>3.54</v>
      </c>
      <c r="K1710">
        <v>0.1</v>
      </c>
    </row>
    <row r="1711" spans="1:11" x14ac:dyDescent="0.35">
      <c r="A1711" s="204">
        <v>36348</v>
      </c>
      <c r="B1711" s="544">
        <v>6.25</v>
      </c>
      <c r="C1711">
        <v>6.7</v>
      </c>
      <c r="D1711">
        <v>7.3</v>
      </c>
      <c r="E1711">
        <v>7.5</v>
      </c>
      <c r="F1711">
        <v>3.78</v>
      </c>
      <c r="G1711">
        <v>4.38</v>
      </c>
      <c r="H1711">
        <v>4.7300000000000004</v>
      </c>
      <c r="I1711">
        <v>4.5999999999999996</v>
      </c>
      <c r="J1711">
        <v>3.53</v>
      </c>
      <c r="K1711">
        <v>0.1</v>
      </c>
    </row>
    <row r="1712" spans="1:11" x14ac:dyDescent="0.35">
      <c r="A1712" s="204">
        <v>36355</v>
      </c>
      <c r="B1712" s="544">
        <v>6.25</v>
      </c>
      <c r="C1712">
        <v>6.7</v>
      </c>
      <c r="D1712">
        <v>7.3</v>
      </c>
      <c r="E1712">
        <v>7.5</v>
      </c>
      <c r="F1712">
        <v>3.78</v>
      </c>
      <c r="G1712">
        <v>4.38</v>
      </c>
      <c r="H1712">
        <v>4.7300000000000004</v>
      </c>
      <c r="I1712">
        <v>4.5999999999999996</v>
      </c>
      <c r="J1712">
        <v>3.53</v>
      </c>
      <c r="K1712">
        <v>0.1</v>
      </c>
    </row>
    <row r="1713" spans="1:11" x14ac:dyDescent="0.35">
      <c r="A1713" s="204">
        <v>36362</v>
      </c>
      <c r="B1713" s="544">
        <v>6.25</v>
      </c>
      <c r="C1713">
        <v>6.7</v>
      </c>
      <c r="D1713">
        <v>7.3</v>
      </c>
      <c r="E1713">
        <v>7.5</v>
      </c>
      <c r="F1713">
        <v>3.78</v>
      </c>
      <c r="G1713">
        <v>4.38</v>
      </c>
      <c r="H1713">
        <v>4.7300000000000004</v>
      </c>
      <c r="I1713">
        <v>4.5999999999999996</v>
      </c>
      <c r="J1713">
        <v>3.56</v>
      </c>
      <c r="K1713">
        <v>0.1</v>
      </c>
    </row>
    <row r="1714" spans="1:11" x14ac:dyDescent="0.35">
      <c r="A1714" s="204">
        <v>36369</v>
      </c>
      <c r="B1714" s="544">
        <v>6.25</v>
      </c>
      <c r="C1714">
        <v>7.05</v>
      </c>
      <c r="D1714">
        <v>7.6</v>
      </c>
      <c r="E1714">
        <v>7.75</v>
      </c>
      <c r="F1714">
        <v>3.78</v>
      </c>
      <c r="G1714">
        <v>4.38</v>
      </c>
      <c r="H1714">
        <v>4.7300000000000004</v>
      </c>
      <c r="I1714">
        <v>4.5999999999999996</v>
      </c>
      <c r="J1714">
        <v>3.56</v>
      </c>
      <c r="K1714">
        <v>0.1</v>
      </c>
    </row>
    <row r="1715" spans="1:11" x14ac:dyDescent="0.35">
      <c r="A1715" s="204">
        <v>36376</v>
      </c>
      <c r="B1715" s="544">
        <v>6.25</v>
      </c>
      <c r="C1715">
        <v>7.05</v>
      </c>
      <c r="D1715">
        <v>7.6</v>
      </c>
      <c r="E1715">
        <v>7.75</v>
      </c>
      <c r="F1715">
        <v>4.13</v>
      </c>
      <c r="G1715">
        <v>4.68</v>
      </c>
      <c r="H1715">
        <v>4.9800000000000004</v>
      </c>
      <c r="I1715">
        <v>4.8499999999999996</v>
      </c>
      <c r="J1715">
        <v>3.68</v>
      </c>
      <c r="K1715">
        <v>0.1</v>
      </c>
    </row>
    <row r="1716" spans="1:11" x14ac:dyDescent="0.35">
      <c r="A1716" s="204">
        <v>36383</v>
      </c>
      <c r="B1716" s="544">
        <v>6.25</v>
      </c>
      <c r="C1716">
        <v>7.25</v>
      </c>
      <c r="D1716">
        <v>7.8</v>
      </c>
      <c r="E1716">
        <v>8.0500000000000007</v>
      </c>
      <c r="F1716">
        <v>4.13</v>
      </c>
      <c r="G1716">
        <v>4.68</v>
      </c>
      <c r="H1716">
        <v>4.9800000000000004</v>
      </c>
      <c r="I1716">
        <v>4.8499999999999996</v>
      </c>
      <c r="J1716">
        <v>3.68</v>
      </c>
      <c r="K1716">
        <v>0.1</v>
      </c>
    </row>
    <row r="1717" spans="1:11" x14ac:dyDescent="0.35">
      <c r="A1717" s="204">
        <v>36390</v>
      </c>
      <c r="B1717" s="544">
        <v>6.25</v>
      </c>
      <c r="C1717">
        <v>7.25</v>
      </c>
      <c r="D1717">
        <v>7.8</v>
      </c>
      <c r="E1717">
        <v>8.0500000000000007</v>
      </c>
      <c r="F1717">
        <v>4.33</v>
      </c>
      <c r="G1717">
        <v>4.88</v>
      </c>
      <c r="H1717">
        <v>5.28</v>
      </c>
      <c r="I1717">
        <v>5.15</v>
      </c>
      <c r="J1717">
        <v>3.76</v>
      </c>
      <c r="K1717">
        <v>0.1</v>
      </c>
    </row>
    <row r="1718" spans="1:11" x14ac:dyDescent="0.35">
      <c r="A1718" s="204">
        <v>36397</v>
      </c>
      <c r="B1718" s="544">
        <v>6.25</v>
      </c>
      <c r="C1718">
        <v>7.05</v>
      </c>
      <c r="D1718">
        <v>7.65</v>
      </c>
      <c r="E1718">
        <v>7.8</v>
      </c>
      <c r="F1718">
        <v>4.33</v>
      </c>
      <c r="G1718">
        <v>4.88</v>
      </c>
      <c r="H1718">
        <v>5.28</v>
      </c>
      <c r="I1718">
        <v>5.15</v>
      </c>
      <c r="J1718">
        <v>3.76</v>
      </c>
      <c r="K1718">
        <v>0.1</v>
      </c>
    </row>
    <row r="1719" spans="1:11" x14ac:dyDescent="0.35">
      <c r="A1719" s="204">
        <v>36404</v>
      </c>
      <c r="B1719" s="544">
        <v>6.25</v>
      </c>
      <c r="C1719">
        <v>7.05</v>
      </c>
      <c r="D1719">
        <v>7.65</v>
      </c>
      <c r="E1719">
        <v>7.8</v>
      </c>
      <c r="F1719">
        <v>4.13</v>
      </c>
      <c r="G1719">
        <v>4.7300000000000004</v>
      </c>
      <c r="H1719">
        <v>5.03</v>
      </c>
      <c r="I1719">
        <v>4.9000000000000004</v>
      </c>
      <c r="J1719">
        <v>3.76</v>
      </c>
      <c r="K1719">
        <v>0.1</v>
      </c>
    </row>
    <row r="1720" spans="1:11" x14ac:dyDescent="0.35">
      <c r="A1720" s="204">
        <v>36411</v>
      </c>
      <c r="B1720" s="544">
        <v>6.25</v>
      </c>
      <c r="C1720">
        <v>7.05</v>
      </c>
      <c r="D1720">
        <v>7.65</v>
      </c>
      <c r="E1720">
        <v>7.8</v>
      </c>
      <c r="F1720">
        <v>4.13</v>
      </c>
      <c r="G1720">
        <v>4.7300000000000004</v>
      </c>
      <c r="H1720">
        <v>5.03</v>
      </c>
      <c r="I1720">
        <v>4.9000000000000004</v>
      </c>
      <c r="J1720">
        <v>3.76</v>
      </c>
      <c r="K1720">
        <v>0.1</v>
      </c>
    </row>
    <row r="1721" spans="1:11" x14ac:dyDescent="0.35">
      <c r="A1721" s="204">
        <v>36418</v>
      </c>
      <c r="B1721" s="544">
        <v>6.25</v>
      </c>
      <c r="C1721">
        <v>7.05</v>
      </c>
      <c r="D1721">
        <v>7.65</v>
      </c>
      <c r="E1721">
        <v>7.8</v>
      </c>
      <c r="F1721">
        <v>4.13</v>
      </c>
      <c r="G1721">
        <v>4.7300000000000004</v>
      </c>
      <c r="H1721">
        <v>5.03</v>
      </c>
      <c r="I1721">
        <v>4.9000000000000004</v>
      </c>
      <c r="J1721">
        <v>3.76</v>
      </c>
      <c r="K1721">
        <v>0.1</v>
      </c>
    </row>
    <row r="1722" spans="1:11" x14ac:dyDescent="0.35">
      <c r="A1722" s="204">
        <v>36425</v>
      </c>
      <c r="B1722" s="544">
        <v>6.25</v>
      </c>
      <c r="C1722">
        <v>7.05</v>
      </c>
      <c r="D1722">
        <v>7.65</v>
      </c>
      <c r="E1722">
        <v>7.8</v>
      </c>
      <c r="F1722">
        <v>4.13</v>
      </c>
      <c r="G1722">
        <v>4.7300000000000004</v>
      </c>
      <c r="H1722">
        <v>5.03</v>
      </c>
      <c r="I1722">
        <v>4.9000000000000004</v>
      </c>
      <c r="J1722">
        <v>3.61</v>
      </c>
      <c r="K1722">
        <v>0.1</v>
      </c>
    </row>
    <row r="1723" spans="1:11" x14ac:dyDescent="0.35">
      <c r="A1723" s="204">
        <v>36432</v>
      </c>
      <c r="B1723" s="544">
        <v>6.25</v>
      </c>
      <c r="C1723">
        <v>6.8</v>
      </c>
      <c r="D1723">
        <v>7.55</v>
      </c>
      <c r="E1723">
        <v>7.7</v>
      </c>
      <c r="F1723">
        <v>3.78</v>
      </c>
      <c r="G1723">
        <v>4.63</v>
      </c>
      <c r="H1723">
        <v>4.93</v>
      </c>
      <c r="I1723">
        <v>4.8</v>
      </c>
      <c r="J1723">
        <v>3.56</v>
      </c>
      <c r="K1723">
        <v>0.1</v>
      </c>
    </row>
    <row r="1724" spans="1:11" x14ac:dyDescent="0.35">
      <c r="A1724" s="204">
        <v>36439</v>
      </c>
      <c r="B1724" s="544">
        <v>6.25</v>
      </c>
      <c r="C1724">
        <v>6.8</v>
      </c>
      <c r="D1724">
        <v>7.55</v>
      </c>
      <c r="E1724">
        <v>7.7</v>
      </c>
      <c r="F1724">
        <v>3.78</v>
      </c>
      <c r="G1724">
        <v>4.63</v>
      </c>
      <c r="H1724">
        <v>4.93</v>
      </c>
      <c r="I1724">
        <v>4.8</v>
      </c>
      <c r="J1724">
        <v>3.56</v>
      </c>
      <c r="K1724">
        <v>0.1</v>
      </c>
    </row>
    <row r="1725" spans="1:11" x14ac:dyDescent="0.35">
      <c r="A1725" s="204">
        <v>36446</v>
      </c>
      <c r="B1725" s="544">
        <v>6.25</v>
      </c>
      <c r="C1725">
        <v>6.95</v>
      </c>
      <c r="D1725">
        <v>7.8</v>
      </c>
      <c r="E1725">
        <v>8</v>
      </c>
      <c r="F1725">
        <v>3.93</v>
      </c>
      <c r="G1725">
        <v>4.88</v>
      </c>
      <c r="H1725">
        <v>5.23</v>
      </c>
      <c r="I1725">
        <v>5.0999999999999996</v>
      </c>
      <c r="J1725">
        <v>3.61</v>
      </c>
      <c r="K1725">
        <v>0.1</v>
      </c>
    </row>
    <row r="1726" spans="1:11" x14ac:dyDescent="0.35">
      <c r="A1726" s="204">
        <v>36453</v>
      </c>
      <c r="B1726" s="544">
        <v>6.25</v>
      </c>
      <c r="C1726">
        <v>7.35</v>
      </c>
      <c r="D1726">
        <v>8.0500000000000007</v>
      </c>
      <c r="E1726">
        <v>8.25</v>
      </c>
      <c r="F1726">
        <v>3.93</v>
      </c>
      <c r="G1726">
        <v>4.88</v>
      </c>
      <c r="H1726">
        <v>5.23</v>
      </c>
      <c r="I1726">
        <v>5.0999999999999996</v>
      </c>
      <c r="J1726">
        <v>3.61</v>
      </c>
      <c r="K1726">
        <v>0.1</v>
      </c>
    </row>
    <row r="1727" spans="1:11" x14ac:dyDescent="0.35">
      <c r="A1727" s="204">
        <v>36460</v>
      </c>
      <c r="B1727" s="544">
        <v>6.25</v>
      </c>
      <c r="C1727">
        <v>7.35</v>
      </c>
      <c r="D1727">
        <v>8.0500000000000007</v>
      </c>
      <c r="E1727">
        <v>8.25</v>
      </c>
      <c r="F1727">
        <v>4.2300000000000004</v>
      </c>
      <c r="G1727">
        <v>5.13</v>
      </c>
      <c r="H1727">
        <v>5.48</v>
      </c>
      <c r="I1727">
        <v>5.35</v>
      </c>
      <c r="J1727">
        <v>3.72</v>
      </c>
      <c r="K1727">
        <v>0.1</v>
      </c>
    </row>
    <row r="1728" spans="1:11" x14ac:dyDescent="0.35">
      <c r="A1728" s="204">
        <v>36467</v>
      </c>
      <c r="B1728" s="544">
        <v>6.25</v>
      </c>
      <c r="C1728">
        <v>7.35</v>
      </c>
      <c r="D1728">
        <v>8.0500000000000007</v>
      </c>
      <c r="E1728">
        <v>8.25</v>
      </c>
      <c r="F1728">
        <v>4.2300000000000004</v>
      </c>
      <c r="G1728">
        <v>5.13</v>
      </c>
      <c r="H1728">
        <v>5.48</v>
      </c>
      <c r="I1728">
        <v>5.35</v>
      </c>
      <c r="J1728">
        <v>3.72</v>
      </c>
      <c r="K1728">
        <v>0.1</v>
      </c>
    </row>
    <row r="1729" spans="1:11" x14ac:dyDescent="0.35">
      <c r="A1729" s="204">
        <v>36474</v>
      </c>
      <c r="B1729" s="544">
        <v>6.25</v>
      </c>
      <c r="C1729">
        <v>7.35</v>
      </c>
      <c r="D1729">
        <v>8.0500000000000007</v>
      </c>
      <c r="E1729">
        <v>8.25</v>
      </c>
      <c r="F1729">
        <v>4.2300000000000004</v>
      </c>
      <c r="G1729">
        <v>5.13</v>
      </c>
      <c r="H1729">
        <v>5.48</v>
      </c>
      <c r="I1729">
        <v>5.35</v>
      </c>
      <c r="J1729">
        <v>3.77</v>
      </c>
      <c r="K1729">
        <v>0.1</v>
      </c>
    </row>
    <row r="1730" spans="1:11" x14ac:dyDescent="0.35">
      <c r="A1730" s="204">
        <v>36481</v>
      </c>
      <c r="B1730" s="544">
        <v>6.25</v>
      </c>
      <c r="C1730">
        <v>7.35</v>
      </c>
      <c r="D1730">
        <v>8.0500000000000007</v>
      </c>
      <c r="E1730">
        <v>8.25</v>
      </c>
      <c r="F1730">
        <v>4.2300000000000004</v>
      </c>
      <c r="G1730">
        <v>5.13</v>
      </c>
      <c r="H1730">
        <v>5.48</v>
      </c>
      <c r="I1730">
        <v>5.35</v>
      </c>
      <c r="J1730">
        <v>3.77</v>
      </c>
      <c r="K1730">
        <v>0.1</v>
      </c>
    </row>
    <row r="1731" spans="1:11" x14ac:dyDescent="0.35">
      <c r="A1731" s="204">
        <v>36488</v>
      </c>
      <c r="B1731" s="544">
        <v>6.5</v>
      </c>
      <c r="C1731">
        <v>7.35</v>
      </c>
      <c r="D1731">
        <v>8.0500000000000007</v>
      </c>
      <c r="E1731">
        <v>8.25</v>
      </c>
      <c r="F1731">
        <v>4.2300000000000004</v>
      </c>
      <c r="G1731">
        <v>5.13</v>
      </c>
      <c r="H1731">
        <v>5.48</v>
      </c>
      <c r="I1731">
        <v>5.35</v>
      </c>
      <c r="J1731">
        <v>3.69</v>
      </c>
      <c r="K1731">
        <v>0.1</v>
      </c>
    </row>
    <row r="1732" spans="1:11" x14ac:dyDescent="0.35">
      <c r="A1732" s="204">
        <v>36495</v>
      </c>
      <c r="B1732" s="544">
        <v>6.5</v>
      </c>
      <c r="C1732">
        <v>7.35</v>
      </c>
      <c r="D1732">
        <v>8.0500000000000007</v>
      </c>
      <c r="E1732">
        <v>8.25</v>
      </c>
      <c r="F1732">
        <v>4.2300000000000004</v>
      </c>
      <c r="G1732">
        <v>5.13</v>
      </c>
      <c r="H1732">
        <v>5.48</v>
      </c>
      <c r="I1732">
        <v>5.35</v>
      </c>
      <c r="J1732">
        <v>3.69</v>
      </c>
      <c r="K1732">
        <v>0.1</v>
      </c>
    </row>
    <row r="1733" spans="1:11" x14ac:dyDescent="0.35">
      <c r="A1733" s="204">
        <v>36502</v>
      </c>
      <c r="B1733" s="544">
        <v>6.5</v>
      </c>
      <c r="C1733">
        <v>7.35</v>
      </c>
      <c r="D1733">
        <v>8.0500000000000007</v>
      </c>
      <c r="E1733">
        <v>8.25</v>
      </c>
      <c r="F1733">
        <v>4.2300000000000004</v>
      </c>
      <c r="G1733">
        <v>5.13</v>
      </c>
      <c r="H1733">
        <v>5.48</v>
      </c>
      <c r="I1733">
        <v>5.35</v>
      </c>
      <c r="J1733">
        <v>3.58</v>
      </c>
      <c r="K1733">
        <v>0.1</v>
      </c>
    </row>
    <row r="1734" spans="1:11" x14ac:dyDescent="0.35">
      <c r="A1734" s="204">
        <v>36509</v>
      </c>
      <c r="B1734" s="544">
        <v>6.5</v>
      </c>
      <c r="C1734">
        <v>7.35</v>
      </c>
      <c r="D1734">
        <v>8.0500000000000007</v>
      </c>
      <c r="E1734">
        <v>8.25</v>
      </c>
      <c r="F1734">
        <v>4.2300000000000004</v>
      </c>
      <c r="G1734">
        <v>5.13</v>
      </c>
      <c r="H1734">
        <v>5.48</v>
      </c>
      <c r="I1734">
        <v>5.35</v>
      </c>
      <c r="J1734">
        <v>3.58</v>
      </c>
      <c r="K1734">
        <v>0.1</v>
      </c>
    </row>
    <row r="1735" spans="1:11" x14ac:dyDescent="0.35">
      <c r="A1735" s="204">
        <v>36516</v>
      </c>
      <c r="B1735" s="544">
        <v>6.5</v>
      </c>
      <c r="C1735">
        <v>7.35</v>
      </c>
      <c r="D1735">
        <v>8.0500000000000007</v>
      </c>
      <c r="E1735">
        <v>8.25</v>
      </c>
      <c r="F1735">
        <v>4.2300000000000004</v>
      </c>
      <c r="G1735">
        <v>5.13</v>
      </c>
      <c r="H1735">
        <v>5.48</v>
      </c>
      <c r="I1735">
        <v>5.35</v>
      </c>
      <c r="J1735">
        <v>3.8</v>
      </c>
      <c r="K1735">
        <v>0.1</v>
      </c>
    </row>
    <row r="1736" spans="1:11" x14ac:dyDescent="0.35">
      <c r="A1736" s="204">
        <v>36523</v>
      </c>
      <c r="B1736" s="544">
        <v>6.5</v>
      </c>
      <c r="C1736">
        <v>7.35</v>
      </c>
      <c r="D1736">
        <v>8.0500000000000007</v>
      </c>
      <c r="E1736">
        <v>8.25</v>
      </c>
      <c r="F1736">
        <v>4.2300000000000004</v>
      </c>
      <c r="G1736">
        <v>5.13</v>
      </c>
      <c r="H1736">
        <v>5.48</v>
      </c>
      <c r="I1736">
        <v>5.35</v>
      </c>
      <c r="J1736">
        <v>3.8</v>
      </c>
      <c r="K1736">
        <v>0.1</v>
      </c>
    </row>
    <row r="1737" spans="1:11" x14ac:dyDescent="0.35">
      <c r="A1737" s="204">
        <v>36530</v>
      </c>
      <c r="B1737" s="544">
        <v>6.5</v>
      </c>
      <c r="C1737">
        <v>7.35</v>
      </c>
      <c r="D1737">
        <v>8.0500000000000007</v>
      </c>
      <c r="E1737">
        <v>8.25</v>
      </c>
      <c r="F1737">
        <v>4.2300000000000004</v>
      </c>
      <c r="G1737">
        <v>5.13</v>
      </c>
      <c r="H1737">
        <v>5.48</v>
      </c>
      <c r="I1737">
        <v>5.35</v>
      </c>
      <c r="J1737">
        <v>3.8</v>
      </c>
      <c r="K1737">
        <v>0.1</v>
      </c>
    </row>
    <row r="1738" spans="1:11" x14ac:dyDescent="0.35">
      <c r="A1738" s="204">
        <v>36537</v>
      </c>
      <c r="B1738" s="544">
        <v>6.5</v>
      </c>
      <c r="C1738">
        <v>7.6</v>
      </c>
      <c r="D1738">
        <v>8.3000000000000007</v>
      </c>
      <c r="E1738">
        <v>8.5500000000000007</v>
      </c>
      <c r="F1738">
        <v>4.4800000000000004</v>
      </c>
      <c r="G1738">
        <v>5.38</v>
      </c>
      <c r="H1738">
        <v>5.73</v>
      </c>
      <c r="I1738">
        <v>5.6</v>
      </c>
      <c r="J1738">
        <v>3.86</v>
      </c>
      <c r="K1738">
        <v>0.1</v>
      </c>
    </row>
    <row r="1739" spans="1:11" x14ac:dyDescent="0.35">
      <c r="A1739" s="204">
        <v>36544</v>
      </c>
      <c r="B1739" s="544">
        <v>6.5</v>
      </c>
      <c r="C1739">
        <v>7.6</v>
      </c>
      <c r="D1739">
        <v>8.3000000000000007</v>
      </c>
      <c r="E1739">
        <v>8.5500000000000007</v>
      </c>
      <c r="F1739">
        <v>4.4800000000000004</v>
      </c>
      <c r="G1739">
        <v>5.38</v>
      </c>
      <c r="H1739">
        <v>5.73</v>
      </c>
      <c r="I1739">
        <v>5.6</v>
      </c>
      <c r="J1739">
        <v>3.95</v>
      </c>
      <c r="K1739">
        <v>0.1</v>
      </c>
    </row>
    <row r="1740" spans="1:11" x14ac:dyDescent="0.35">
      <c r="A1740" s="204">
        <v>36551</v>
      </c>
      <c r="B1740" s="544">
        <v>6.5</v>
      </c>
      <c r="C1740">
        <v>7.6</v>
      </c>
      <c r="D1740">
        <v>8.3000000000000007</v>
      </c>
      <c r="E1740">
        <v>8.5500000000000007</v>
      </c>
      <c r="F1740">
        <v>4.4800000000000004</v>
      </c>
      <c r="G1740">
        <v>5.38</v>
      </c>
      <c r="H1740">
        <v>5.73</v>
      </c>
      <c r="I1740">
        <v>5.6</v>
      </c>
      <c r="J1740">
        <v>3.95</v>
      </c>
      <c r="K1740">
        <v>0.1</v>
      </c>
    </row>
    <row r="1741" spans="1:11" x14ac:dyDescent="0.35">
      <c r="A1741" s="204">
        <v>36558</v>
      </c>
      <c r="B1741" s="544">
        <v>6.5</v>
      </c>
      <c r="C1741">
        <v>7.6</v>
      </c>
      <c r="D1741">
        <v>8.3000000000000007</v>
      </c>
      <c r="E1741">
        <v>8.5500000000000007</v>
      </c>
      <c r="F1741">
        <v>4.4800000000000004</v>
      </c>
      <c r="G1741">
        <v>5.38</v>
      </c>
      <c r="H1741">
        <v>5.73</v>
      </c>
      <c r="I1741">
        <v>5.6</v>
      </c>
      <c r="J1741">
        <v>3.95</v>
      </c>
      <c r="K1741">
        <v>0.1</v>
      </c>
    </row>
    <row r="1742" spans="1:11" x14ac:dyDescent="0.35">
      <c r="A1742" s="204">
        <v>36565</v>
      </c>
      <c r="B1742" s="544">
        <v>6.75</v>
      </c>
      <c r="C1742">
        <v>7.6</v>
      </c>
      <c r="D1742">
        <v>8.3000000000000007</v>
      </c>
      <c r="E1742">
        <v>8.5500000000000007</v>
      </c>
      <c r="F1742">
        <v>4.4800000000000004</v>
      </c>
      <c r="G1742">
        <v>5.38</v>
      </c>
      <c r="H1742">
        <v>5.73</v>
      </c>
      <c r="I1742">
        <v>5.6</v>
      </c>
      <c r="J1742">
        <v>4.03</v>
      </c>
      <c r="K1742">
        <v>0.1</v>
      </c>
    </row>
    <row r="1743" spans="1:11" x14ac:dyDescent="0.35">
      <c r="A1743" s="204">
        <v>36572</v>
      </c>
      <c r="B1743" s="544">
        <v>6.75</v>
      </c>
      <c r="C1743">
        <v>7.6</v>
      </c>
      <c r="D1743">
        <v>8.3000000000000007</v>
      </c>
      <c r="E1743">
        <v>8.5500000000000007</v>
      </c>
      <c r="F1743">
        <v>4.4800000000000004</v>
      </c>
      <c r="G1743">
        <v>5.38</v>
      </c>
      <c r="H1743">
        <v>5.73</v>
      </c>
      <c r="I1743">
        <v>5.6</v>
      </c>
      <c r="J1743">
        <v>3.97</v>
      </c>
      <c r="K1743">
        <v>0.1</v>
      </c>
    </row>
    <row r="1744" spans="1:11" x14ac:dyDescent="0.35">
      <c r="A1744" s="204">
        <v>36579</v>
      </c>
      <c r="B1744" s="544">
        <v>6.75</v>
      </c>
      <c r="C1744">
        <v>7.6</v>
      </c>
      <c r="D1744">
        <v>8.3000000000000007</v>
      </c>
      <c r="E1744">
        <v>8.5500000000000007</v>
      </c>
      <c r="F1744">
        <v>4.4800000000000004</v>
      </c>
      <c r="G1744">
        <v>5.38</v>
      </c>
      <c r="H1744">
        <v>5.73</v>
      </c>
      <c r="I1744">
        <v>5.6</v>
      </c>
      <c r="J1744">
        <v>3.97</v>
      </c>
      <c r="K1744">
        <v>0.1</v>
      </c>
    </row>
    <row r="1745" spans="1:11" x14ac:dyDescent="0.35">
      <c r="A1745" s="204">
        <v>36586</v>
      </c>
      <c r="B1745" s="544">
        <v>6.75</v>
      </c>
      <c r="C1745">
        <v>7.6</v>
      </c>
      <c r="D1745">
        <v>8.15</v>
      </c>
      <c r="E1745">
        <v>8.35</v>
      </c>
      <c r="F1745">
        <v>4.4800000000000004</v>
      </c>
      <c r="G1745">
        <v>5.38</v>
      </c>
      <c r="H1745">
        <v>5.73</v>
      </c>
      <c r="I1745">
        <v>5.6</v>
      </c>
      <c r="J1745">
        <v>3.97</v>
      </c>
      <c r="K1745">
        <v>0.1</v>
      </c>
    </row>
    <row r="1746" spans="1:11" x14ac:dyDescent="0.35">
      <c r="A1746" s="204">
        <v>36593</v>
      </c>
      <c r="B1746" s="544">
        <v>6.75</v>
      </c>
      <c r="C1746">
        <v>7.6</v>
      </c>
      <c r="D1746">
        <v>8.15</v>
      </c>
      <c r="E1746">
        <v>8.35</v>
      </c>
      <c r="F1746">
        <v>4.4800000000000004</v>
      </c>
      <c r="G1746">
        <v>5.13</v>
      </c>
      <c r="H1746">
        <v>5.43</v>
      </c>
      <c r="I1746">
        <v>5.35</v>
      </c>
      <c r="J1746">
        <v>3.92</v>
      </c>
      <c r="K1746">
        <v>0.1</v>
      </c>
    </row>
    <row r="1747" spans="1:11" x14ac:dyDescent="0.35">
      <c r="A1747" s="204">
        <v>36600</v>
      </c>
      <c r="B1747" s="544">
        <v>6.75</v>
      </c>
      <c r="C1747">
        <v>7.6</v>
      </c>
      <c r="D1747">
        <v>8.15</v>
      </c>
      <c r="E1747">
        <v>8.35</v>
      </c>
      <c r="F1747">
        <v>4.4800000000000004</v>
      </c>
      <c r="G1747">
        <v>5.13</v>
      </c>
      <c r="H1747">
        <v>5.43</v>
      </c>
      <c r="I1747">
        <v>5.35</v>
      </c>
      <c r="J1747">
        <v>4.03</v>
      </c>
      <c r="K1747">
        <v>0.1</v>
      </c>
    </row>
    <row r="1748" spans="1:11" x14ac:dyDescent="0.35">
      <c r="A1748" s="204">
        <v>36607</v>
      </c>
      <c r="B1748" s="544">
        <v>6.75</v>
      </c>
      <c r="C1748">
        <v>7.6</v>
      </c>
      <c r="D1748">
        <v>8.15</v>
      </c>
      <c r="E1748">
        <v>8.35</v>
      </c>
      <c r="F1748">
        <v>4.4800000000000004</v>
      </c>
      <c r="G1748">
        <v>5.13</v>
      </c>
      <c r="H1748">
        <v>5.43</v>
      </c>
      <c r="I1748">
        <v>5.35</v>
      </c>
      <c r="J1748">
        <v>4.03</v>
      </c>
      <c r="K1748">
        <v>0.1</v>
      </c>
    </row>
    <row r="1749" spans="1:11" x14ac:dyDescent="0.35">
      <c r="A1749" s="204">
        <v>36614</v>
      </c>
      <c r="B1749" s="544">
        <v>7</v>
      </c>
      <c r="C1749">
        <v>7.7</v>
      </c>
      <c r="D1749">
        <v>8.15</v>
      </c>
      <c r="E1749">
        <v>8.35</v>
      </c>
      <c r="F1749">
        <v>4.58</v>
      </c>
      <c r="G1749">
        <v>5.13</v>
      </c>
      <c r="H1749">
        <v>5.43</v>
      </c>
      <c r="I1749">
        <v>5.35</v>
      </c>
      <c r="J1749">
        <v>4.1500000000000004</v>
      </c>
      <c r="K1749">
        <v>0.1</v>
      </c>
    </row>
    <row r="1750" spans="1:11" x14ac:dyDescent="0.35">
      <c r="A1750" s="204">
        <v>36621</v>
      </c>
      <c r="B1750" s="544">
        <v>7</v>
      </c>
      <c r="C1750">
        <v>7.7</v>
      </c>
      <c r="D1750">
        <v>8.15</v>
      </c>
      <c r="E1750">
        <v>8.35</v>
      </c>
      <c r="F1750">
        <v>4.58</v>
      </c>
      <c r="G1750">
        <v>5.13</v>
      </c>
      <c r="H1750">
        <v>5.43</v>
      </c>
      <c r="I1750">
        <v>5.35</v>
      </c>
      <c r="J1750">
        <v>4.1500000000000004</v>
      </c>
      <c r="K1750">
        <v>0.1</v>
      </c>
    </row>
    <row r="1751" spans="1:11" x14ac:dyDescent="0.35">
      <c r="A1751" s="204">
        <v>36628</v>
      </c>
      <c r="B1751" s="544">
        <v>7</v>
      </c>
      <c r="C1751">
        <v>7.7</v>
      </c>
      <c r="D1751">
        <v>8.15</v>
      </c>
      <c r="E1751">
        <v>8.35</v>
      </c>
      <c r="F1751">
        <v>4.58</v>
      </c>
      <c r="G1751">
        <v>5.13</v>
      </c>
      <c r="H1751">
        <v>5.43</v>
      </c>
      <c r="I1751">
        <v>5.35</v>
      </c>
      <c r="J1751">
        <v>4.17</v>
      </c>
      <c r="K1751">
        <v>0.1</v>
      </c>
    </row>
    <row r="1752" spans="1:11" x14ac:dyDescent="0.35">
      <c r="A1752" s="204">
        <v>36635</v>
      </c>
      <c r="B1752" s="544">
        <v>7</v>
      </c>
      <c r="C1752">
        <v>7.7</v>
      </c>
      <c r="D1752">
        <v>8.15</v>
      </c>
      <c r="E1752">
        <v>8.35</v>
      </c>
      <c r="F1752">
        <v>4.58</v>
      </c>
      <c r="G1752">
        <v>5.13</v>
      </c>
      <c r="H1752">
        <v>5.43</v>
      </c>
      <c r="I1752">
        <v>5.35</v>
      </c>
      <c r="J1752">
        <v>4.22</v>
      </c>
      <c r="K1752">
        <v>0.1</v>
      </c>
    </row>
    <row r="1753" spans="1:11" x14ac:dyDescent="0.35">
      <c r="A1753" s="204">
        <v>36642</v>
      </c>
      <c r="B1753" s="544">
        <v>7</v>
      </c>
      <c r="C1753">
        <v>7.7</v>
      </c>
      <c r="D1753">
        <v>8.15</v>
      </c>
      <c r="E1753">
        <v>8.35</v>
      </c>
      <c r="F1753">
        <v>4.58</v>
      </c>
      <c r="G1753">
        <v>5.13</v>
      </c>
      <c r="H1753">
        <v>5.43</v>
      </c>
      <c r="I1753">
        <v>5.35</v>
      </c>
      <c r="J1753">
        <v>4.32</v>
      </c>
      <c r="K1753">
        <v>0.1</v>
      </c>
    </row>
    <row r="1754" spans="1:11" x14ac:dyDescent="0.35">
      <c r="A1754" s="204">
        <v>36649</v>
      </c>
      <c r="B1754" s="544">
        <v>7</v>
      </c>
      <c r="C1754">
        <v>7.9</v>
      </c>
      <c r="D1754">
        <v>8.35</v>
      </c>
      <c r="E1754">
        <v>8.5500000000000007</v>
      </c>
      <c r="F1754">
        <v>4.58</v>
      </c>
      <c r="G1754">
        <v>5.13</v>
      </c>
      <c r="H1754">
        <v>5.43</v>
      </c>
      <c r="I1754">
        <v>5.35</v>
      </c>
      <c r="J1754">
        <v>4.32</v>
      </c>
      <c r="K1754">
        <v>0.1</v>
      </c>
    </row>
    <row r="1755" spans="1:11" x14ac:dyDescent="0.35">
      <c r="A1755" s="204">
        <v>36656</v>
      </c>
      <c r="B1755" s="544">
        <v>7</v>
      </c>
      <c r="C1755">
        <v>7.9</v>
      </c>
      <c r="D1755">
        <v>8.35</v>
      </c>
      <c r="E1755">
        <v>8.5500000000000007</v>
      </c>
      <c r="F1755">
        <v>4.78</v>
      </c>
      <c r="G1755">
        <v>5.18</v>
      </c>
      <c r="H1755">
        <v>5.48</v>
      </c>
      <c r="I1755">
        <v>5.35</v>
      </c>
      <c r="J1755">
        <v>4.53</v>
      </c>
      <c r="K1755">
        <v>0.1</v>
      </c>
    </row>
    <row r="1756" spans="1:11" x14ac:dyDescent="0.35">
      <c r="A1756" s="204">
        <v>36663</v>
      </c>
      <c r="B1756" s="544">
        <v>7.5</v>
      </c>
      <c r="C1756">
        <v>7.9</v>
      </c>
      <c r="D1756">
        <v>8.35</v>
      </c>
      <c r="E1756">
        <v>8.5500000000000007</v>
      </c>
      <c r="F1756">
        <v>4.78</v>
      </c>
      <c r="G1756">
        <v>5.18</v>
      </c>
      <c r="H1756">
        <v>5.48</v>
      </c>
      <c r="I1756">
        <v>5.35</v>
      </c>
      <c r="J1756">
        <v>4.55</v>
      </c>
      <c r="K1756">
        <v>0.1</v>
      </c>
    </row>
    <row r="1757" spans="1:11" x14ac:dyDescent="0.35">
      <c r="A1757" s="204">
        <v>36670</v>
      </c>
      <c r="B1757" s="544">
        <v>7.5</v>
      </c>
      <c r="C1757">
        <v>8.3000000000000007</v>
      </c>
      <c r="D1757">
        <v>8.5500000000000007</v>
      </c>
      <c r="E1757">
        <v>8.75</v>
      </c>
      <c r="F1757">
        <v>5.08</v>
      </c>
      <c r="G1757">
        <v>5.43</v>
      </c>
      <c r="H1757">
        <v>5.73</v>
      </c>
      <c r="I1757">
        <v>5.6</v>
      </c>
      <c r="J1757">
        <v>4.55</v>
      </c>
      <c r="K1757">
        <v>0.1</v>
      </c>
    </row>
    <row r="1758" spans="1:11" x14ac:dyDescent="0.35">
      <c r="A1758" s="204">
        <v>36677</v>
      </c>
      <c r="B1758" s="544">
        <v>7.5</v>
      </c>
      <c r="C1758">
        <v>8.3000000000000007</v>
      </c>
      <c r="D1758">
        <v>8.5500000000000007</v>
      </c>
      <c r="E1758">
        <v>8.75</v>
      </c>
      <c r="F1758">
        <v>5.08</v>
      </c>
      <c r="G1758">
        <v>5.43</v>
      </c>
      <c r="H1758">
        <v>5.73</v>
      </c>
      <c r="I1758">
        <v>5.6</v>
      </c>
      <c r="J1758">
        <v>4.62</v>
      </c>
      <c r="K1758">
        <v>0.1</v>
      </c>
    </row>
    <row r="1759" spans="1:11" x14ac:dyDescent="0.35">
      <c r="A1759" s="204">
        <v>36684</v>
      </c>
      <c r="B1759" s="544">
        <v>7.5</v>
      </c>
      <c r="C1759">
        <v>8.1</v>
      </c>
      <c r="D1759">
        <v>8.3000000000000007</v>
      </c>
      <c r="E1759">
        <v>8.4499999999999993</v>
      </c>
      <c r="F1759">
        <v>4.88</v>
      </c>
      <c r="G1759">
        <v>5.18</v>
      </c>
      <c r="H1759">
        <v>5.43</v>
      </c>
      <c r="I1759">
        <v>5.3</v>
      </c>
      <c r="J1759">
        <v>4.4800000000000004</v>
      </c>
      <c r="K1759">
        <v>0.1</v>
      </c>
    </row>
    <row r="1760" spans="1:11" x14ac:dyDescent="0.35">
      <c r="A1760" s="204">
        <v>36691</v>
      </c>
      <c r="B1760" s="544">
        <v>7.5</v>
      </c>
      <c r="C1760">
        <v>8.1</v>
      </c>
      <c r="D1760">
        <v>8.3000000000000007</v>
      </c>
      <c r="E1760">
        <v>8.4499999999999993</v>
      </c>
      <c r="F1760">
        <v>4.88</v>
      </c>
      <c r="G1760">
        <v>5.18</v>
      </c>
      <c r="H1760">
        <v>5.43</v>
      </c>
      <c r="I1760">
        <v>5.3</v>
      </c>
      <c r="J1760">
        <v>4.43</v>
      </c>
      <c r="K1760">
        <v>0.1</v>
      </c>
    </row>
    <row r="1761" spans="1:11" x14ac:dyDescent="0.35">
      <c r="A1761" s="204">
        <v>36698</v>
      </c>
      <c r="B1761" s="544">
        <v>7.5</v>
      </c>
      <c r="C1761">
        <v>8.1</v>
      </c>
      <c r="D1761">
        <v>8.3000000000000007</v>
      </c>
      <c r="E1761">
        <v>8.4499999999999993</v>
      </c>
      <c r="F1761">
        <v>4.88</v>
      </c>
      <c r="G1761">
        <v>5.18</v>
      </c>
      <c r="H1761">
        <v>5.43</v>
      </c>
      <c r="I1761">
        <v>5.3</v>
      </c>
      <c r="J1761">
        <v>4.37</v>
      </c>
      <c r="K1761">
        <v>0.1</v>
      </c>
    </row>
    <row r="1762" spans="1:11" x14ac:dyDescent="0.35">
      <c r="A1762" s="204">
        <v>36705</v>
      </c>
      <c r="B1762" s="544">
        <v>7.5</v>
      </c>
      <c r="C1762">
        <v>8.1</v>
      </c>
      <c r="D1762">
        <v>8.3000000000000007</v>
      </c>
      <c r="E1762">
        <v>8.4499999999999993</v>
      </c>
      <c r="F1762">
        <v>4.88</v>
      </c>
      <c r="G1762">
        <v>5.18</v>
      </c>
      <c r="H1762">
        <v>5.43</v>
      </c>
      <c r="I1762">
        <v>5.3</v>
      </c>
      <c r="J1762">
        <v>4.37</v>
      </c>
      <c r="K1762">
        <v>0.1</v>
      </c>
    </row>
    <row r="1763" spans="1:11" x14ac:dyDescent="0.35">
      <c r="A1763" s="204">
        <v>36712</v>
      </c>
      <c r="B1763" s="544">
        <v>7.5</v>
      </c>
      <c r="C1763">
        <v>8.1</v>
      </c>
      <c r="D1763">
        <v>8.3000000000000007</v>
      </c>
      <c r="E1763">
        <v>8.4499999999999993</v>
      </c>
      <c r="F1763">
        <v>4.88</v>
      </c>
      <c r="G1763">
        <v>5.18</v>
      </c>
      <c r="H1763">
        <v>5.43</v>
      </c>
      <c r="I1763">
        <v>5.3</v>
      </c>
      <c r="J1763">
        <v>4.37</v>
      </c>
      <c r="K1763">
        <v>0.1</v>
      </c>
    </row>
    <row r="1764" spans="1:11" x14ac:dyDescent="0.35">
      <c r="A1764" s="204">
        <v>36719</v>
      </c>
      <c r="B1764" s="544">
        <v>7.5</v>
      </c>
      <c r="C1764">
        <v>7.9</v>
      </c>
      <c r="D1764">
        <v>8.1</v>
      </c>
      <c r="E1764">
        <v>8.25</v>
      </c>
      <c r="F1764">
        <v>4.88</v>
      </c>
      <c r="G1764">
        <v>5.18</v>
      </c>
      <c r="H1764">
        <v>5.43</v>
      </c>
      <c r="I1764">
        <v>5.3</v>
      </c>
      <c r="J1764">
        <v>4.37</v>
      </c>
      <c r="K1764">
        <v>0.1</v>
      </c>
    </row>
    <row r="1765" spans="1:11" x14ac:dyDescent="0.35">
      <c r="A1765" s="204">
        <v>36726</v>
      </c>
      <c r="B1765" s="544">
        <v>7.5</v>
      </c>
      <c r="C1765">
        <v>7.9</v>
      </c>
      <c r="D1765">
        <v>8.1</v>
      </c>
      <c r="E1765">
        <v>8.25</v>
      </c>
      <c r="F1765">
        <v>4.88</v>
      </c>
      <c r="G1765">
        <v>5.18</v>
      </c>
      <c r="H1765">
        <v>5.43</v>
      </c>
      <c r="I1765">
        <v>5.3</v>
      </c>
      <c r="J1765">
        <v>4.5</v>
      </c>
      <c r="K1765">
        <v>0.1</v>
      </c>
    </row>
    <row r="1766" spans="1:11" x14ac:dyDescent="0.35">
      <c r="A1766" s="204">
        <v>36733</v>
      </c>
      <c r="B1766" s="544">
        <v>7.5</v>
      </c>
      <c r="C1766">
        <v>7.9</v>
      </c>
      <c r="D1766">
        <v>8.1</v>
      </c>
      <c r="E1766">
        <v>8.25</v>
      </c>
      <c r="F1766">
        <v>4.7300000000000004</v>
      </c>
      <c r="G1766">
        <v>5.03</v>
      </c>
      <c r="H1766">
        <v>5.18</v>
      </c>
      <c r="I1766">
        <v>5.05</v>
      </c>
      <c r="J1766">
        <v>4.5</v>
      </c>
      <c r="K1766">
        <v>0.1</v>
      </c>
    </row>
    <row r="1767" spans="1:11" x14ac:dyDescent="0.35">
      <c r="A1767" s="204">
        <v>36740</v>
      </c>
      <c r="B1767" s="544">
        <v>7.5</v>
      </c>
      <c r="C1767">
        <v>7.9</v>
      </c>
      <c r="D1767">
        <v>8.1</v>
      </c>
      <c r="E1767">
        <v>8.25</v>
      </c>
      <c r="F1767">
        <v>4.7300000000000004</v>
      </c>
      <c r="G1767">
        <v>5.03</v>
      </c>
      <c r="H1767">
        <v>5.18</v>
      </c>
      <c r="I1767">
        <v>5.05</v>
      </c>
      <c r="J1767">
        <v>4.5</v>
      </c>
      <c r="K1767">
        <v>0.1</v>
      </c>
    </row>
    <row r="1768" spans="1:11" x14ac:dyDescent="0.35">
      <c r="A1768" s="204">
        <v>36747</v>
      </c>
      <c r="B1768" s="544">
        <v>7.5</v>
      </c>
      <c r="C1768">
        <v>7.9</v>
      </c>
      <c r="D1768">
        <v>8.1</v>
      </c>
      <c r="E1768">
        <v>8.25</v>
      </c>
      <c r="F1768">
        <v>4.7300000000000004</v>
      </c>
      <c r="G1768">
        <v>5.03</v>
      </c>
      <c r="H1768">
        <v>5.18</v>
      </c>
      <c r="I1768">
        <v>5.05</v>
      </c>
      <c r="J1768">
        <v>4.5</v>
      </c>
      <c r="K1768">
        <v>0.1</v>
      </c>
    </row>
    <row r="1769" spans="1:11" x14ac:dyDescent="0.35">
      <c r="A1769" s="204">
        <v>36754</v>
      </c>
      <c r="B1769" s="544">
        <v>7.5</v>
      </c>
      <c r="C1769">
        <v>7.9</v>
      </c>
      <c r="D1769">
        <v>8.1</v>
      </c>
      <c r="E1769">
        <v>8.25</v>
      </c>
      <c r="F1769">
        <v>4.7300000000000004</v>
      </c>
      <c r="G1769">
        <v>5.03</v>
      </c>
      <c r="H1769">
        <v>5.18</v>
      </c>
      <c r="I1769">
        <v>5.05</v>
      </c>
      <c r="J1769">
        <v>4.5</v>
      </c>
      <c r="K1769">
        <v>0.1</v>
      </c>
    </row>
    <row r="1770" spans="1:11" x14ac:dyDescent="0.35">
      <c r="A1770" s="204">
        <v>36761</v>
      </c>
      <c r="B1770" s="544">
        <v>7.5</v>
      </c>
      <c r="C1770">
        <v>7.9</v>
      </c>
      <c r="D1770">
        <v>8.1</v>
      </c>
      <c r="E1770">
        <v>8.25</v>
      </c>
      <c r="F1770">
        <v>4.7300000000000004</v>
      </c>
      <c r="G1770">
        <v>5.03</v>
      </c>
      <c r="H1770">
        <v>5.18</v>
      </c>
      <c r="I1770">
        <v>5.05</v>
      </c>
      <c r="J1770">
        <v>4.5</v>
      </c>
      <c r="K1770">
        <v>0.1</v>
      </c>
    </row>
    <row r="1771" spans="1:11" x14ac:dyDescent="0.35">
      <c r="A1771" s="204">
        <v>36768</v>
      </c>
      <c r="B1771" s="544">
        <v>7.5</v>
      </c>
      <c r="C1771">
        <v>7.9</v>
      </c>
      <c r="D1771">
        <v>8.1</v>
      </c>
      <c r="E1771">
        <v>8.25</v>
      </c>
      <c r="F1771">
        <v>4.7300000000000004</v>
      </c>
      <c r="G1771">
        <v>5.03</v>
      </c>
      <c r="H1771">
        <v>5.18</v>
      </c>
      <c r="I1771">
        <v>5.05</v>
      </c>
      <c r="J1771">
        <v>4.49</v>
      </c>
      <c r="K1771">
        <v>0.1</v>
      </c>
    </row>
    <row r="1772" spans="1:11" x14ac:dyDescent="0.35">
      <c r="A1772" s="204">
        <v>36775</v>
      </c>
      <c r="B1772" s="544">
        <v>7.5</v>
      </c>
      <c r="C1772">
        <v>7.9</v>
      </c>
      <c r="D1772">
        <v>8.1</v>
      </c>
      <c r="E1772">
        <v>8.25</v>
      </c>
      <c r="F1772">
        <v>4.7300000000000004</v>
      </c>
      <c r="G1772">
        <v>5.03</v>
      </c>
      <c r="H1772">
        <v>5.18</v>
      </c>
      <c r="I1772">
        <v>5.05</v>
      </c>
      <c r="J1772">
        <v>4.49</v>
      </c>
      <c r="K1772">
        <v>0.1</v>
      </c>
    </row>
    <row r="1773" spans="1:11" x14ac:dyDescent="0.35">
      <c r="A1773" s="204">
        <v>36782</v>
      </c>
      <c r="B1773" s="544">
        <v>7.5</v>
      </c>
      <c r="C1773">
        <v>7.9</v>
      </c>
      <c r="D1773">
        <v>8.1</v>
      </c>
      <c r="E1773">
        <v>8.25</v>
      </c>
      <c r="F1773">
        <v>4.7300000000000004</v>
      </c>
      <c r="G1773">
        <v>5.03</v>
      </c>
      <c r="H1773">
        <v>5.18</v>
      </c>
      <c r="I1773">
        <v>5.05</v>
      </c>
      <c r="J1773">
        <v>4.5</v>
      </c>
      <c r="K1773">
        <v>0.1</v>
      </c>
    </row>
    <row r="1774" spans="1:11" x14ac:dyDescent="0.35">
      <c r="A1774" s="204">
        <v>36789</v>
      </c>
      <c r="B1774" s="544">
        <v>7.5</v>
      </c>
      <c r="C1774">
        <v>7.9</v>
      </c>
      <c r="D1774">
        <v>8.1</v>
      </c>
      <c r="E1774">
        <v>8.25</v>
      </c>
      <c r="F1774">
        <v>4.7300000000000004</v>
      </c>
      <c r="G1774">
        <v>5.03</v>
      </c>
      <c r="H1774">
        <v>5.18</v>
      </c>
      <c r="I1774">
        <v>5.05</v>
      </c>
      <c r="J1774">
        <v>4.5</v>
      </c>
      <c r="K1774">
        <v>0.1</v>
      </c>
    </row>
    <row r="1775" spans="1:11" x14ac:dyDescent="0.35">
      <c r="A1775" s="204">
        <v>36796</v>
      </c>
      <c r="B1775" s="544">
        <v>7.5</v>
      </c>
      <c r="C1775">
        <v>7.9</v>
      </c>
      <c r="D1775">
        <v>8.1</v>
      </c>
      <c r="E1775">
        <v>8.25</v>
      </c>
      <c r="F1775">
        <v>4.7300000000000004</v>
      </c>
      <c r="G1775">
        <v>5.03</v>
      </c>
      <c r="H1775">
        <v>5.18</v>
      </c>
      <c r="I1775">
        <v>5.05</v>
      </c>
      <c r="J1775">
        <v>4.5</v>
      </c>
      <c r="K1775">
        <v>0.1</v>
      </c>
    </row>
    <row r="1776" spans="1:11" x14ac:dyDescent="0.35">
      <c r="A1776" s="204">
        <v>36803</v>
      </c>
      <c r="B1776" s="544">
        <v>7.5</v>
      </c>
      <c r="C1776">
        <v>7.9</v>
      </c>
      <c r="D1776">
        <v>8.1</v>
      </c>
      <c r="E1776">
        <v>8.25</v>
      </c>
      <c r="F1776">
        <v>4.7300000000000004</v>
      </c>
      <c r="G1776">
        <v>5.03</v>
      </c>
      <c r="H1776">
        <v>5.18</v>
      </c>
      <c r="I1776">
        <v>5.05</v>
      </c>
      <c r="J1776">
        <v>4.5</v>
      </c>
      <c r="K1776">
        <v>0.1</v>
      </c>
    </row>
    <row r="1777" spans="1:11" x14ac:dyDescent="0.35">
      <c r="A1777" s="204">
        <v>36810</v>
      </c>
      <c r="B1777" s="544">
        <v>7.5</v>
      </c>
      <c r="C1777">
        <v>7.9</v>
      </c>
      <c r="D1777">
        <v>8.1</v>
      </c>
      <c r="E1777">
        <v>8.25</v>
      </c>
      <c r="F1777">
        <v>4.7300000000000004</v>
      </c>
      <c r="G1777">
        <v>5.03</v>
      </c>
      <c r="H1777">
        <v>5.18</v>
      </c>
      <c r="I1777">
        <v>5.05</v>
      </c>
      <c r="J1777">
        <v>4.5</v>
      </c>
      <c r="K1777">
        <v>0.1</v>
      </c>
    </row>
    <row r="1778" spans="1:11" x14ac:dyDescent="0.35">
      <c r="A1778" s="204">
        <v>36817</v>
      </c>
      <c r="B1778" s="544">
        <v>7.5</v>
      </c>
      <c r="C1778">
        <v>7.9</v>
      </c>
      <c r="D1778">
        <v>8.1</v>
      </c>
      <c r="E1778">
        <v>8.25</v>
      </c>
      <c r="F1778">
        <v>4.7300000000000004</v>
      </c>
      <c r="G1778">
        <v>5.03</v>
      </c>
      <c r="H1778">
        <v>5.18</v>
      </c>
      <c r="I1778">
        <v>5.05</v>
      </c>
      <c r="J1778">
        <v>4.5</v>
      </c>
      <c r="K1778">
        <v>0.1</v>
      </c>
    </row>
    <row r="1779" spans="1:11" x14ac:dyDescent="0.35">
      <c r="A1779" s="204">
        <v>36824</v>
      </c>
      <c r="B1779" s="544">
        <v>7.5</v>
      </c>
      <c r="C1779">
        <v>7.9</v>
      </c>
      <c r="D1779">
        <v>8.1</v>
      </c>
      <c r="E1779">
        <v>8.25</v>
      </c>
      <c r="F1779">
        <v>4.7300000000000004</v>
      </c>
      <c r="G1779">
        <v>5.03</v>
      </c>
      <c r="H1779">
        <v>5.18</v>
      </c>
      <c r="I1779">
        <v>5.05</v>
      </c>
      <c r="J1779">
        <v>4.5</v>
      </c>
      <c r="K1779">
        <v>0.1</v>
      </c>
    </row>
    <row r="1780" spans="1:11" x14ac:dyDescent="0.35">
      <c r="A1780" s="204">
        <v>36831</v>
      </c>
      <c r="B1780" s="544">
        <v>7.5</v>
      </c>
      <c r="C1780">
        <v>7.9</v>
      </c>
      <c r="D1780">
        <v>8.1</v>
      </c>
      <c r="E1780">
        <v>8.25</v>
      </c>
      <c r="F1780">
        <v>4.7300000000000004</v>
      </c>
      <c r="G1780">
        <v>5.03</v>
      </c>
      <c r="H1780">
        <v>5.18</v>
      </c>
      <c r="I1780">
        <v>5.05</v>
      </c>
      <c r="J1780">
        <v>4.5</v>
      </c>
      <c r="K1780">
        <v>0.1</v>
      </c>
    </row>
    <row r="1781" spans="1:11" x14ac:dyDescent="0.35">
      <c r="A1781" s="204">
        <v>36838</v>
      </c>
      <c r="B1781" s="544">
        <v>7.5</v>
      </c>
      <c r="C1781">
        <v>7.9</v>
      </c>
      <c r="D1781">
        <v>8.1</v>
      </c>
      <c r="E1781">
        <v>8.25</v>
      </c>
      <c r="F1781">
        <v>4.7300000000000004</v>
      </c>
      <c r="G1781">
        <v>5.03</v>
      </c>
      <c r="H1781">
        <v>5.18</v>
      </c>
      <c r="I1781">
        <v>5.05</v>
      </c>
      <c r="J1781">
        <v>4.5</v>
      </c>
      <c r="K1781">
        <v>0.1</v>
      </c>
    </row>
    <row r="1782" spans="1:11" x14ac:dyDescent="0.35">
      <c r="A1782" s="204">
        <v>36845</v>
      </c>
      <c r="B1782" s="544">
        <v>7.5</v>
      </c>
      <c r="C1782">
        <v>7.9</v>
      </c>
      <c r="D1782">
        <v>8.1</v>
      </c>
      <c r="E1782">
        <v>8.25</v>
      </c>
      <c r="F1782">
        <v>4.7300000000000004</v>
      </c>
      <c r="G1782">
        <v>5.03</v>
      </c>
      <c r="H1782">
        <v>5.18</v>
      </c>
      <c r="I1782">
        <v>5.05</v>
      </c>
      <c r="J1782">
        <v>4.5</v>
      </c>
      <c r="K1782">
        <v>0.1</v>
      </c>
    </row>
    <row r="1783" spans="1:11" x14ac:dyDescent="0.35">
      <c r="A1783" s="204">
        <v>36852</v>
      </c>
      <c r="B1783" s="544">
        <v>7.5</v>
      </c>
      <c r="C1783">
        <v>7.9</v>
      </c>
      <c r="D1783">
        <v>8.1</v>
      </c>
      <c r="E1783">
        <v>8.25</v>
      </c>
      <c r="F1783">
        <v>4.7300000000000004</v>
      </c>
      <c r="G1783">
        <v>5.03</v>
      </c>
      <c r="H1783">
        <v>5.18</v>
      </c>
      <c r="I1783">
        <v>5.05</v>
      </c>
      <c r="J1783">
        <v>4.5</v>
      </c>
      <c r="K1783">
        <v>0.1</v>
      </c>
    </row>
    <row r="1784" spans="1:11" x14ac:dyDescent="0.35">
      <c r="A1784" s="204">
        <v>36859</v>
      </c>
      <c r="B1784" s="544">
        <v>7.5</v>
      </c>
      <c r="C1784">
        <v>7.9</v>
      </c>
      <c r="D1784">
        <v>8.1</v>
      </c>
      <c r="E1784">
        <v>8.25</v>
      </c>
      <c r="F1784">
        <v>4.7300000000000004</v>
      </c>
      <c r="G1784">
        <v>5.03</v>
      </c>
      <c r="H1784">
        <v>5.18</v>
      </c>
      <c r="I1784">
        <v>5.05</v>
      </c>
      <c r="J1784">
        <v>4.5599999999999996</v>
      </c>
      <c r="K1784">
        <v>0.1</v>
      </c>
    </row>
    <row r="1785" spans="1:11" x14ac:dyDescent="0.35">
      <c r="A1785" s="204">
        <v>36866</v>
      </c>
      <c r="B1785" s="544">
        <v>7.5</v>
      </c>
      <c r="C1785">
        <v>7.8</v>
      </c>
      <c r="D1785">
        <v>7.95</v>
      </c>
      <c r="E1785">
        <v>8.1</v>
      </c>
      <c r="F1785">
        <v>4.4800000000000004</v>
      </c>
      <c r="G1785">
        <v>4.83</v>
      </c>
      <c r="H1785">
        <v>4.9800000000000004</v>
      </c>
      <c r="I1785">
        <v>4.75</v>
      </c>
      <c r="J1785">
        <v>4.5599999999999996</v>
      </c>
      <c r="K1785">
        <v>0.1</v>
      </c>
    </row>
    <row r="1786" spans="1:11" x14ac:dyDescent="0.35">
      <c r="A1786" s="204">
        <v>36873</v>
      </c>
      <c r="B1786" s="544">
        <v>7.5</v>
      </c>
      <c r="C1786">
        <v>7.7</v>
      </c>
      <c r="D1786">
        <v>7.8</v>
      </c>
      <c r="E1786">
        <v>7.95</v>
      </c>
      <c r="F1786">
        <v>4.28</v>
      </c>
      <c r="G1786">
        <v>4.63</v>
      </c>
      <c r="H1786">
        <v>4.7300000000000004</v>
      </c>
      <c r="I1786">
        <v>4.5999999999999996</v>
      </c>
      <c r="J1786">
        <v>4.42</v>
      </c>
      <c r="K1786">
        <v>0.1</v>
      </c>
    </row>
    <row r="1787" spans="1:11" x14ac:dyDescent="0.35">
      <c r="A1787" s="204">
        <v>36880</v>
      </c>
      <c r="B1787" s="544">
        <v>7.5</v>
      </c>
      <c r="C1787">
        <v>7.7</v>
      </c>
      <c r="D1787">
        <v>7.8</v>
      </c>
      <c r="E1787">
        <v>7.95</v>
      </c>
      <c r="F1787">
        <v>4.28</v>
      </c>
      <c r="G1787">
        <v>4.63</v>
      </c>
      <c r="H1787">
        <v>4.7300000000000004</v>
      </c>
      <c r="I1787">
        <v>4.5999999999999996</v>
      </c>
      <c r="J1787">
        <v>4.43</v>
      </c>
      <c r="K1787">
        <v>0.1</v>
      </c>
    </row>
    <row r="1788" spans="1:11" x14ac:dyDescent="0.35">
      <c r="A1788" s="204">
        <v>36887</v>
      </c>
      <c r="B1788" s="544">
        <v>7.5</v>
      </c>
      <c r="C1788">
        <v>7.7</v>
      </c>
      <c r="D1788">
        <v>7.8</v>
      </c>
      <c r="E1788">
        <v>7.95</v>
      </c>
      <c r="F1788">
        <v>4.28</v>
      </c>
      <c r="G1788">
        <v>4.63</v>
      </c>
      <c r="H1788">
        <v>4.7300000000000004</v>
      </c>
      <c r="I1788">
        <v>4.5999999999999996</v>
      </c>
      <c r="J1788">
        <v>4.43</v>
      </c>
      <c r="K1788">
        <v>0.1</v>
      </c>
    </row>
    <row r="1789" spans="1:11" x14ac:dyDescent="0.35">
      <c r="A1789" s="204">
        <v>36894</v>
      </c>
      <c r="B1789" s="544">
        <v>7.5</v>
      </c>
      <c r="C1789">
        <v>7.7</v>
      </c>
      <c r="D1789">
        <v>7.8</v>
      </c>
      <c r="E1789">
        <v>7.95</v>
      </c>
      <c r="F1789">
        <v>4.28</v>
      </c>
      <c r="G1789">
        <v>4.63</v>
      </c>
      <c r="H1789">
        <v>4.7300000000000004</v>
      </c>
      <c r="I1789">
        <v>4.5999999999999996</v>
      </c>
      <c r="J1789">
        <v>4.43</v>
      </c>
      <c r="K1789">
        <v>0.1</v>
      </c>
    </row>
    <row r="1790" spans="1:11" x14ac:dyDescent="0.35">
      <c r="A1790" s="204">
        <v>36901</v>
      </c>
      <c r="B1790" s="544">
        <v>7.5</v>
      </c>
      <c r="C1790">
        <v>7.4</v>
      </c>
      <c r="D1790">
        <v>7.55</v>
      </c>
      <c r="E1790">
        <v>7.75</v>
      </c>
      <c r="F1790">
        <v>3.88</v>
      </c>
      <c r="G1790">
        <v>4.13</v>
      </c>
      <c r="H1790">
        <v>4.58</v>
      </c>
      <c r="I1790">
        <v>4.45</v>
      </c>
      <c r="J1790">
        <v>4.3499999999999996</v>
      </c>
      <c r="K1790">
        <v>0.1</v>
      </c>
    </row>
    <row r="1791" spans="1:11" x14ac:dyDescent="0.35">
      <c r="A1791" s="204">
        <v>36908</v>
      </c>
      <c r="B1791" s="544">
        <v>7.5</v>
      </c>
      <c r="C1791">
        <v>7.4</v>
      </c>
      <c r="D1791">
        <v>7.55</v>
      </c>
      <c r="E1791">
        <v>7.75</v>
      </c>
      <c r="F1791">
        <v>3.88</v>
      </c>
      <c r="G1791">
        <v>4.13</v>
      </c>
      <c r="H1791">
        <v>4.58</v>
      </c>
      <c r="I1791">
        <v>4.45</v>
      </c>
      <c r="J1791">
        <v>4.1399999999999997</v>
      </c>
      <c r="K1791">
        <v>0.1</v>
      </c>
    </row>
    <row r="1792" spans="1:11" x14ac:dyDescent="0.35">
      <c r="A1792" s="204">
        <v>36915</v>
      </c>
      <c r="B1792" s="544">
        <v>7.25</v>
      </c>
      <c r="C1792">
        <v>7.4</v>
      </c>
      <c r="D1792">
        <v>7.55</v>
      </c>
      <c r="E1792">
        <v>7.75</v>
      </c>
      <c r="F1792">
        <v>3.88</v>
      </c>
      <c r="G1792">
        <v>4.13</v>
      </c>
      <c r="H1792">
        <v>4.58</v>
      </c>
      <c r="I1792">
        <v>4.45</v>
      </c>
      <c r="J1792">
        <v>4.1399999999999997</v>
      </c>
      <c r="K1792">
        <v>0.1</v>
      </c>
    </row>
    <row r="1793" spans="1:11" x14ac:dyDescent="0.35">
      <c r="A1793" s="204">
        <v>36922</v>
      </c>
      <c r="B1793" s="544">
        <v>7.25</v>
      </c>
      <c r="C1793">
        <v>7.4</v>
      </c>
      <c r="D1793">
        <v>7.55</v>
      </c>
      <c r="E1793">
        <v>7.75</v>
      </c>
      <c r="F1793">
        <v>3.73</v>
      </c>
      <c r="G1793">
        <v>4.08</v>
      </c>
      <c r="H1793">
        <v>4.58</v>
      </c>
      <c r="I1793">
        <v>4.45</v>
      </c>
      <c r="J1793">
        <v>4.1399999999999997</v>
      </c>
      <c r="K1793">
        <v>0.1</v>
      </c>
    </row>
    <row r="1794" spans="1:11" x14ac:dyDescent="0.35">
      <c r="A1794" s="204">
        <v>36929</v>
      </c>
      <c r="B1794" s="544">
        <v>7.25</v>
      </c>
      <c r="C1794">
        <v>7.2</v>
      </c>
      <c r="D1794">
        <v>7.55</v>
      </c>
      <c r="E1794">
        <v>7.75</v>
      </c>
      <c r="F1794">
        <v>3.73</v>
      </c>
      <c r="G1794">
        <v>4.08</v>
      </c>
      <c r="H1794">
        <v>4.58</v>
      </c>
      <c r="I1794">
        <v>4.45</v>
      </c>
      <c r="J1794">
        <v>4.1399999999999997</v>
      </c>
      <c r="K1794">
        <v>0.1</v>
      </c>
    </row>
    <row r="1795" spans="1:11" x14ac:dyDescent="0.35">
      <c r="A1795" s="204">
        <v>36936</v>
      </c>
      <c r="B1795" s="544">
        <v>7.25</v>
      </c>
      <c r="C1795">
        <v>7.2</v>
      </c>
      <c r="D1795">
        <v>7.55</v>
      </c>
      <c r="E1795">
        <v>7.75</v>
      </c>
      <c r="F1795">
        <v>3.73</v>
      </c>
      <c r="G1795">
        <v>4.08</v>
      </c>
      <c r="H1795">
        <v>4.58</v>
      </c>
      <c r="I1795">
        <v>4.45</v>
      </c>
      <c r="J1795">
        <v>4.04</v>
      </c>
      <c r="K1795">
        <v>0.1</v>
      </c>
    </row>
    <row r="1796" spans="1:11" x14ac:dyDescent="0.35">
      <c r="A1796" s="204">
        <v>36943</v>
      </c>
      <c r="B1796" s="544">
        <v>7.25</v>
      </c>
      <c r="C1796">
        <v>7.2</v>
      </c>
      <c r="D1796">
        <v>7.55</v>
      </c>
      <c r="E1796">
        <v>7.75</v>
      </c>
      <c r="F1796">
        <v>3.73</v>
      </c>
      <c r="G1796">
        <v>4.08</v>
      </c>
      <c r="H1796">
        <v>4.58</v>
      </c>
      <c r="I1796">
        <v>4.45</v>
      </c>
      <c r="J1796">
        <v>4.04</v>
      </c>
      <c r="K1796">
        <v>0.1</v>
      </c>
    </row>
    <row r="1797" spans="1:11" x14ac:dyDescent="0.35">
      <c r="A1797" s="204">
        <v>36950</v>
      </c>
      <c r="B1797" s="544">
        <v>7.25</v>
      </c>
      <c r="C1797">
        <v>7.2</v>
      </c>
      <c r="D1797">
        <v>7.55</v>
      </c>
      <c r="E1797">
        <v>7.75</v>
      </c>
      <c r="F1797">
        <v>3.73</v>
      </c>
      <c r="G1797">
        <v>4.08</v>
      </c>
      <c r="H1797">
        <v>4.58</v>
      </c>
      <c r="I1797">
        <v>4.45</v>
      </c>
      <c r="J1797">
        <v>3.5</v>
      </c>
      <c r="K1797">
        <v>0.1</v>
      </c>
    </row>
    <row r="1798" spans="1:11" x14ac:dyDescent="0.35">
      <c r="A1798" s="204">
        <v>36957</v>
      </c>
      <c r="B1798" s="544">
        <v>6.75</v>
      </c>
      <c r="C1798">
        <v>7.05</v>
      </c>
      <c r="D1798">
        <v>7.2</v>
      </c>
      <c r="E1798">
        <v>7.5</v>
      </c>
      <c r="F1798">
        <v>3.73</v>
      </c>
      <c r="G1798">
        <v>4.08</v>
      </c>
      <c r="H1798">
        <v>4.58</v>
      </c>
      <c r="I1798">
        <v>4.45</v>
      </c>
      <c r="J1798">
        <v>3.5</v>
      </c>
      <c r="K1798">
        <v>0.1</v>
      </c>
    </row>
    <row r="1799" spans="1:11" x14ac:dyDescent="0.35">
      <c r="A1799" s="204">
        <v>36964</v>
      </c>
      <c r="B1799" s="544">
        <v>6.75</v>
      </c>
      <c r="C1799">
        <v>6.95</v>
      </c>
      <c r="D1799">
        <v>7.2</v>
      </c>
      <c r="E1799">
        <v>7.5</v>
      </c>
      <c r="F1799">
        <v>3.38</v>
      </c>
      <c r="G1799">
        <v>3.58</v>
      </c>
      <c r="H1799">
        <v>4.18</v>
      </c>
      <c r="I1799">
        <v>4.05</v>
      </c>
      <c r="J1799">
        <v>3.5</v>
      </c>
      <c r="K1799">
        <v>0.1</v>
      </c>
    </row>
    <row r="1800" spans="1:11" x14ac:dyDescent="0.35">
      <c r="A1800" s="204">
        <v>36971</v>
      </c>
      <c r="B1800" s="544">
        <v>6.75</v>
      </c>
      <c r="C1800">
        <v>6.7</v>
      </c>
      <c r="D1800">
        <v>6.95</v>
      </c>
      <c r="E1800">
        <v>7.25</v>
      </c>
      <c r="F1800">
        <v>3.38</v>
      </c>
      <c r="G1800">
        <v>3.58</v>
      </c>
      <c r="H1800">
        <v>4.18</v>
      </c>
      <c r="I1800">
        <v>4.05</v>
      </c>
      <c r="J1800">
        <v>3.5</v>
      </c>
      <c r="K1800">
        <v>0.1</v>
      </c>
    </row>
    <row r="1801" spans="1:11" x14ac:dyDescent="0.35">
      <c r="A1801" s="204">
        <v>36978</v>
      </c>
      <c r="B1801" s="544">
        <v>6.75</v>
      </c>
      <c r="C1801">
        <v>6.7</v>
      </c>
      <c r="D1801">
        <v>6.95</v>
      </c>
      <c r="E1801">
        <v>7.25</v>
      </c>
      <c r="F1801">
        <v>3.18</v>
      </c>
      <c r="G1801">
        <v>3.58</v>
      </c>
      <c r="H1801">
        <v>4.18</v>
      </c>
      <c r="I1801">
        <v>4.05</v>
      </c>
      <c r="J1801">
        <v>3.5</v>
      </c>
      <c r="K1801">
        <v>0.1</v>
      </c>
    </row>
    <row r="1802" spans="1:11" x14ac:dyDescent="0.35">
      <c r="A1802" s="204">
        <v>36985</v>
      </c>
      <c r="B1802" s="544">
        <v>6.75</v>
      </c>
      <c r="C1802">
        <v>6.7</v>
      </c>
      <c r="D1802">
        <v>6.95</v>
      </c>
      <c r="E1802">
        <v>7.25</v>
      </c>
      <c r="F1802">
        <v>3.18</v>
      </c>
      <c r="G1802">
        <v>3.58</v>
      </c>
      <c r="H1802">
        <v>4.18</v>
      </c>
      <c r="I1802">
        <v>4.05</v>
      </c>
      <c r="J1802">
        <v>3.5</v>
      </c>
      <c r="K1802">
        <v>0.1</v>
      </c>
    </row>
    <row r="1803" spans="1:11" x14ac:dyDescent="0.35">
      <c r="A1803" s="204">
        <v>36992</v>
      </c>
      <c r="B1803" s="544">
        <v>6.75</v>
      </c>
      <c r="C1803">
        <v>6.8</v>
      </c>
      <c r="D1803">
        <v>7.1</v>
      </c>
      <c r="E1803">
        <v>7.5</v>
      </c>
      <c r="F1803">
        <v>3.18</v>
      </c>
      <c r="G1803">
        <v>3.58</v>
      </c>
      <c r="H1803">
        <v>4.18</v>
      </c>
      <c r="I1803">
        <v>4.05</v>
      </c>
      <c r="J1803">
        <v>3.5</v>
      </c>
      <c r="K1803">
        <v>0.1</v>
      </c>
    </row>
    <row r="1804" spans="1:11" x14ac:dyDescent="0.35">
      <c r="A1804" s="204">
        <v>36999</v>
      </c>
      <c r="B1804" s="544">
        <v>6.5</v>
      </c>
      <c r="C1804">
        <v>6.8</v>
      </c>
      <c r="D1804">
        <v>7.1</v>
      </c>
      <c r="E1804">
        <v>7.5</v>
      </c>
      <c r="F1804">
        <v>3.18</v>
      </c>
      <c r="G1804">
        <v>3.58</v>
      </c>
      <c r="H1804">
        <v>4.18</v>
      </c>
      <c r="I1804">
        <v>4.05</v>
      </c>
      <c r="J1804">
        <v>3.5</v>
      </c>
      <c r="K1804">
        <v>0.1</v>
      </c>
    </row>
    <row r="1805" spans="1:11" x14ac:dyDescent="0.35">
      <c r="A1805" s="204">
        <v>37006</v>
      </c>
      <c r="B1805" s="544">
        <v>6.5</v>
      </c>
      <c r="C1805">
        <v>6.8</v>
      </c>
      <c r="D1805">
        <v>7.1</v>
      </c>
      <c r="E1805">
        <v>7.5</v>
      </c>
      <c r="F1805">
        <v>3.18</v>
      </c>
      <c r="G1805">
        <v>3.58</v>
      </c>
      <c r="H1805">
        <v>4.18</v>
      </c>
      <c r="I1805">
        <v>4.05</v>
      </c>
      <c r="J1805">
        <v>3.35</v>
      </c>
      <c r="K1805">
        <v>0.1</v>
      </c>
    </row>
    <row r="1806" spans="1:11" x14ac:dyDescent="0.35">
      <c r="A1806" s="204">
        <v>37013</v>
      </c>
      <c r="B1806" s="544">
        <v>6.5</v>
      </c>
      <c r="C1806">
        <v>6.8</v>
      </c>
      <c r="D1806">
        <v>7.1</v>
      </c>
      <c r="E1806">
        <v>7.5</v>
      </c>
      <c r="F1806">
        <v>3.18</v>
      </c>
      <c r="G1806">
        <v>3.58</v>
      </c>
      <c r="H1806">
        <v>4.18</v>
      </c>
      <c r="I1806">
        <v>4.05</v>
      </c>
      <c r="J1806">
        <v>3.35</v>
      </c>
      <c r="K1806">
        <v>0.1</v>
      </c>
    </row>
    <row r="1807" spans="1:11" x14ac:dyDescent="0.35">
      <c r="A1807" s="204">
        <v>37020</v>
      </c>
      <c r="B1807" s="544">
        <v>6.5</v>
      </c>
      <c r="C1807">
        <v>6.7</v>
      </c>
      <c r="D1807">
        <v>7.1</v>
      </c>
      <c r="E1807">
        <v>7.5</v>
      </c>
      <c r="F1807">
        <v>3.08</v>
      </c>
      <c r="G1807">
        <v>3.58</v>
      </c>
      <c r="H1807">
        <v>4.18</v>
      </c>
      <c r="I1807">
        <v>4.05</v>
      </c>
      <c r="J1807">
        <v>3.25</v>
      </c>
      <c r="K1807">
        <v>0.1</v>
      </c>
    </row>
    <row r="1808" spans="1:11" x14ac:dyDescent="0.35">
      <c r="A1808" s="204">
        <v>37027</v>
      </c>
      <c r="B1808" s="544">
        <v>6.5</v>
      </c>
      <c r="C1808">
        <v>6.7</v>
      </c>
      <c r="D1808">
        <v>7.1</v>
      </c>
      <c r="E1808">
        <v>7.5</v>
      </c>
      <c r="F1808">
        <v>3.08</v>
      </c>
      <c r="G1808">
        <v>3.58</v>
      </c>
      <c r="H1808">
        <v>4.18</v>
      </c>
      <c r="I1808">
        <v>4.05</v>
      </c>
      <c r="J1808">
        <v>3.04</v>
      </c>
      <c r="K1808">
        <v>0.1</v>
      </c>
    </row>
    <row r="1809" spans="1:11" x14ac:dyDescent="0.35">
      <c r="A1809" s="204">
        <v>37034</v>
      </c>
      <c r="B1809" s="544">
        <v>6.5</v>
      </c>
      <c r="C1809">
        <v>6.7</v>
      </c>
      <c r="D1809">
        <v>7.3</v>
      </c>
      <c r="E1809">
        <v>7.75</v>
      </c>
      <c r="F1809">
        <v>3.08</v>
      </c>
      <c r="G1809">
        <v>3.58</v>
      </c>
      <c r="H1809">
        <v>4.18</v>
      </c>
      <c r="I1809">
        <v>4.05</v>
      </c>
      <c r="J1809">
        <v>3</v>
      </c>
      <c r="K1809">
        <v>0.1</v>
      </c>
    </row>
    <row r="1810" spans="1:11" x14ac:dyDescent="0.35">
      <c r="A1810" s="204">
        <v>37041</v>
      </c>
      <c r="B1810" s="544">
        <v>6.25</v>
      </c>
      <c r="C1810">
        <v>6.7</v>
      </c>
      <c r="D1810">
        <v>7.3</v>
      </c>
      <c r="E1810">
        <v>7.75</v>
      </c>
      <c r="F1810">
        <v>3.08</v>
      </c>
      <c r="G1810">
        <v>3.58</v>
      </c>
      <c r="H1810">
        <v>4.18</v>
      </c>
      <c r="I1810">
        <v>4.05</v>
      </c>
      <c r="J1810">
        <v>3</v>
      </c>
      <c r="K1810">
        <v>0.1</v>
      </c>
    </row>
    <row r="1811" spans="1:11" x14ac:dyDescent="0.35">
      <c r="A1811" s="204">
        <v>37048</v>
      </c>
      <c r="B1811" s="544">
        <v>6.25</v>
      </c>
      <c r="C1811">
        <v>6.7</v>
      </c>
      <c r="D1811">
        <v>7.3</v>
      </c>
      <c r="E1811">
        <v>7.75</v>
      </c>
      <c r="F1811">
        <v>3.18</v>
      </c>
      <c r="G1811">
        <v>3.58</v>
      </c>
      <c r="H1811">
        <v>4.18</v>
      </c>
      <c r="I1811">
        <v>4.1500000000000004</v>
      </c>
      <c r="J1811">
        <v>3</v>
      </c>
      <c r="K1811">
        <v>0.1</v>
      </c>
    </row>
    <row r="1812" spans="1:11" x14ac:dyDescent="0.35">
      <c r="A1812" s="204">
        <v>37055</v>
      </c>
      <c r="B1812" s="544">
        <v>6.25</v>
      </c>
      <c r="C1812">
        <v>6.7</v>
      </c>
      <c r="D1812">
        <v>7.3</v>
      </c>
      <c r="E1812">
        <v>7.75</v>
      </c>
      <c r="F1812">
        <v>3.18</v>
      </c>
      <c r="G1812">
        <v>3.58</v>
      </c>
      <c r="H1812">
        <v>4.18</v>
      </c>
      <c r="I1812">
        <v>4.05</v>
      </c>
      <c r="J1812">
        <v>3</v>
      </c>
      <c r="K1812">
        <v>0.1</v>
      </c>
    </row>
    <row r="1813" spans="1:11" x14ac:dyDescent="0.35">
      <c r="A1813" s="204">
        <v>37062</v>
      </c>
      <c r="B1813" s="544">
        <v>6.25</v>
      </c>
      <c r="C1813">
        <v>6.7</v>
      </c>
      <c r="D1813">
        <v>7.3</v>
      </c>
      <c r="E1813">
        <v>7.75</v>
      </c>
      <c r="F1813">
        <v>3.28</v>
      </c>
      <c r="G1813">
        <v>3.58</v>
      </c>
      <c r="H1813">
        <v>4.18</v>
      </c>
      <c r="I1813">
        <v>4.05</v>
      </c>
      <c r="J1813">
        <v>3</v>
      </c>
      <c r="K1813">
        <v>0.1</v>
      </c>
    </row>
    <row r="1814" spans="1:11" x14ac:dyDescent="0.35">
      <c r="A1814" s="204">
        <v>37069</v>
      </c>
      <c r="B1814" s="544">
        <v>6.25</v>
      </c>
      <c r="C1814">
        <v>6.7</v>
      </c>
      <c r="D1814">
        <v>7.3</v>
      </c>
      <c r="E1814">
        <v>7.75</v>
      </c>
      <c r="F1814">
        <v>3.18</v>
      </c>
      <c r="G1814">
        <v>3.58</v>
      </c>
      <c r="H1814">
        <v>4.18</v>
      </c>
      <c r="I1814">
        <v>4.05</v>
      </c>
      <c r="J1814">
        <v>3</v>
      </c>
      <c r="K1814">
        <v>0.1</v>
      </c>
    </row>
    <row r="1815" spans="1:11" x14ac:dyDescent="0.35">
      <c r="A1815" s="204">
        <v>37076</v>
      </c>
      <c r="B1815" s="544">
        <v>6.25</v>
      </c>
      <c r="C1815">
        <v>6.7</v>
      </c>
      <c r="D1815">
        <v>7.3</v>
      </c>
      <c r="E1815">
        <v>7.75</v>
      </c>
      <c r="F1815">
        <v>3.18</v>
      </c>
      <c r="G1815">
        <v>3.58</v>
      </c>
      <c r="H1815">
        <v>4.18</v>
      </c>
      <c r="I1815">
        <v>4.05</v>
      </c>
      <c r="J1815">
        <v>3</v>
      </c>
      <c r="K1815">
        <v>0.1</v>
      </c>
    </row>
    <row r="1816" spans="1:11" x14ac:dyDescent="0.35">
      <c r="A1816" s="204">
        <v>37083</v>
      </c>
      <c r="B1816" s="544">
        <v>6.25</v>
      </c>
      <c r="C1816">
        <v>6.7</v>
      </c>
      <c r="D1816">
        <v>7.3</v>
      </c>
      <c r="E1816">
        <v>7.75</v>
      </c>
      <c r="F1816">
        <v>3.18</v>
      </c>
      <c r="G1816">
        <v>3.58</v>
      </c>
      <c r="H1816">
        <v>4.18</v>
      </c>
      <c r="I1816">
        <v>4.05</v>
      </c>
      <c r="J1816">
        <v>2.5</v>
      </c>
      <c r="K1816">
        <v>0.1</v>
      </c>
    </row>
    <row r="1817" spans="1:11" x14ac:dyDescent="0.35">
      <c r="A1817" s="204">
        <v>37090</v>
      </c>
      <c r="B1817" s="544">
        <v>6</v>
      </c>
      <c r="C1817">
        <v>6.7</v>
      </c>
      <c r="D1817">
        <v>7.3</v>
      </c>
      <c r="E1817">
        <v>7.75</v>
      </c>
      <c r="F1817">
        <v>3.18</v>
      </c>
      <c r="G1817">
        <v>3.58</v>
      </c>
      <c r="H1817">
        <v>4.18</v>
      </c>
      <c r="I1817">
        <v>4.05</v>
      </c>
      <c r="J1817">
        <v>2.5</v>
      </c>
      <c r="K1817">
        <v>0.1</v>
      </c>
    </row>
    <row r="1818" spans="1:11" x14ac:dyDescent="0.35">
      <c r="A1818" s="204">
        <v>37097</v>
      </c>
      <c r="B1818" s="544">
        <v>6</v>
      </c>
      <c r="C1818">
        <v>6.45</v>
      </c>
      <c r="D1818">
        <v>7.3</v>
      </c>
      <c r="E1818">
        <v>7.75</v>
      </c>
      <c r="F1818">
        <v>3.18</v>
      </c>
      <c r="G1818">
        <v>3.58</v>
      </c>
      <c r="H1818">
        <v>4.18</v>
      </c>
      <c r="I1818">
        <v>4.05</v>
      </c>
      <c r="J1818">
        <v>2.5</v>
      </c>
      <c r="K1818">
        <v>0.1</v>
      </c>
    </row>
    <row r="1819" spans="1:11" x14ac:dyDescent="0.35">
      <c r="A1819" s="204">
        <v>37104</v>
      </c>
      <c r="B1819" s="544">
        <v>6</v>
      </c>
      <c r="C1819">
        <v>6.45</v>
      </c>
      <c r="D1819">
        <v>7.3</v>
      </c>
      <c r="E1819">
        <v>7.75</v>
      </c>
      <c r="F1819">
        <v>2.93</v>
      </c>
      <c r="G1819">
        <v>3.58</v>
      </c>
      <c r="H1819">
        <v>4.18</v>
      </c>
      <c r="I1819">
        <v>4.05</v>
      </c>
      <c r="J1819">
        <v>2.5</v>
      </c>
      <c r="K1819">
        <v>0.1</v>
      </c>
    </row>
    <row r="1820" spans="1:11" x14ac:dyDescent="0.35">
      <c r="A1820" s="204">
        <v>37111</v>
      </c>
      <c r="B1820" s="544">
        <v>6</v>
      </c>
      <c r="C1820">
        <v>6.45</v>
      </c>
      <c r="D1820">
        <v>7.3</v>
      </c>
      <c r="E1820">
        <v>7.75</v>
      </c>
      <c r="F1820">
        <v>2.93</v>
      </c>
      <c r="G1820">
        <v>3.58</v>
      </c>
      <c r="H1820">
        <v>4.18</v>
      </c>
      <c r="I1820">
        <v>4.05</v>
      </c>
      <c r="J1820">
        <v>2.93</v>
      </c>
      <c r="K1820">
        <v>0.1</v>
      </c>
    </row>
    <row r="1821" spans="1:11" x14ac:dyDescent="0.35">
      <c r="A1821" s="204">
        <v>37118</v>
      </c>
      <c r="B1821" s="544">
        <v>6</v>
      </c>
      <c r="C1821">
        <v>6.2</v>
      </c>
      <c r="D1821">
        <v>7.3</v>
      </c>
      <c r="E1821">
        <v>7.75</v>
      </c>
      <c r="F1821">
        <v>2.68</v>
      </c>
      <c r="G1821">
        <v>3.58</v>
      </c>
      <c r="H1821">
        <v>4.18</v>
      </c>
      <c r="I1821">
        <v>4.05</v>
      </c>
      <c r="J1821">
        <v>2.5099999999999998</v>
      </c>
      <c r="K1821">
        <v>0.1</v>
      </c>
    </row>
    <row r="1822" spans="1:11" x14ac:dyDescent="0.35">
      <c r="A1822" s="204">
        <v>37125</v>
      </c>
      <c r="B1822" s="544">
        <v>6</v>
      </c>
      <c r="C1822">
        <v>6.2</v>
      </c>
      <c r="D1822">
        <v>7.15</v>
      </c>
      <c r="E1822">
        <v>7.6</v>
      </c>
      <c r="F1822">
        <v>2.68</v>
      </c>
      <c r="G1822">
        <v>3.58</v>
      </c>
      <c r="H1822">
        <v>4.18</v>
      </c>
      <c r="I1822">
        <v>4.05</v>
      </c>
      <c r="J1822">
        <v>2.5099999999999998</v>
      </c>
      <c r="K1822">
        <v>0.1</v>
      </c>
    </row>
    <row r="1823" spans="1:11" x14ac:dyDescent="0.35">
      <c r="A1823" s="204">
        <v>37132</v>
      </c>
      <c r="B1823" s="544">
        <v>5.75</v>
      </c>
      <c r="C1823">
        <v>6.2</v>
      </c>
      <c r="D1823">
        <v>7.15</v>
      </c>
      <c r="E1823">
        <v>7.6</v>
      </c>
      <c r="F1823">
        <v>2.68</v>
      </c>
      <c r="G1823">
        <v>3.58</v>
      </c>
      <c r="H1823">
        <v>4.18</v>
      </c>
      <c r="I1823">
        <v>4.05</v>
      </c>
      <c r="J1823">
        <v>2.5099999999999998</v>
      </c>
      <c r="K1823">
        <v>0.1</v>
      </c>
    </row>
    <row r="1824" spans="1:11" x14ac:dyDescent="0.35">
      <c r="A1824" s="204">
        <v>37139</v>
      </c>
      <c r="B1824" s="544">
        <v>5.75</v>
      </c>
      <c r="C1824">
        <v>6.2</v>
      </c>
      <c r="D1824">
        <v>7</v>
      </c>
      <c r="E1824">
        <v>7.45</v>
      </c>
      <c r="F1824">
        <v>2.68</v>
      </c>
      <c r="G1824">
        <v>3.58</v>
      </c>
      <c r="H1824">
        <v>4.18</v>
      </c>
      <c r="I1824">
        <v>3.9</v>
      </c>
      <c r="J1824">
        <v>2.5099999999999998</v>
      </c>
      <c r="K1824">
        <v>0.1</v>
      </c>
    </row>
    <row r="1825" spans="1:11" x14ac:dyDescent="0.35">
      <c r="A1825" s="204">
        <v>37146</v>
      </c>
      <c r="B1825" s="544">
        <v>5.75</v>
      </c>
      <c r="C1825">
        <v>5.9</v>
      </c>
      <c r="D1825">
        <v>6.85</v>
      </c>
      <c r="E1825">
        <v>7.3</v>
      </c>
      <c r="F1825">
        <v>2.5</v>
      </c>
      <c r="G1825">
        <v>3.43</v>
      </c>
      <c r="H1825">
        <v>4.03</v>
      </c>
      <c r="I1825">
        <v>3.9</v>
      </c>
      <c r="J1825">
        <v>2.5099999999999998</v>
      </c>
      <c r="K1825">
        <v>0.1</v>
      </c>
    </row>
    <row r="1826" spans="1:11" x14ac:dyDescent="0.35">
      <c r="A1826" s="204">
        <v>37153</v>
      </c>
      <c r="B1826" s="544">
        <v>5.25</v>
      </c>
      <c r="C1826">
        <v>5.45</v>
      </c>
      <c r="D1826">
        <v>6.7</v>
      </c>
      <c r="E1826">
        <v>7.15</v>
      </c>
      <c r="F1826">
        <v>1.88</v>
      </c>
      <c r="G1826">
        <v>3.13</v>
      </c>
      <c r="H1826">
        <v>3.73</v>
      </c>
      <c r="I1826">
        <v>3.6</v>
      </c>
      <c r="J1826">
        <v>2.2999999999999998</v>
      </c>
      <c r="K1826">
        <v>0.1</v>
      </c>
    </row>
    <row r="1827" spans="1:11" x14ac:dyDescent="0.35">
      <c r="A1827" s="204">
        <v>37160</v>
      </c>
      <c r="B1827" s="544">
        <v>5.25</v>
      </c>
      <c r="C1827">
        <v>5.45</v>
      </c>
      <c r="D1827">
        <v>6.7</v>
      </c>
      <c r="E1827">
        <v>7.15</v>
      </c>
      <c r="F1827">
        <v>1.88</v>
      </c>
      <c r="G1827">
        <v>3.13</v>
      </c>
      <c r="H1827">
        <v>3.73</v>
      </c>
      <c r="I1827">
        <v>3.6</v>
      </c>
      <c r="J1827">
        <v>2.1</v>
      </c>
      <c r="K1827">
        <v>0.1</v>
      </c>
    </row>
    <row r="1828" spans="1:11" x14ac:dyDescent="0.35">
      <c r="A1828" s="204">
        <v>37167</v>
      </c>
      <c r="B1828" s="544">
        <v>5.25</v>
      </c>
      <c r="C1828">
        <v>5.35</v>
      </c>
      <c r="D1828">
        <v>6.4</v>
      </c>
      <c r="E1828">
        <v>7.05</v>
      </c>
      <c r="F1828">
        <v>1.88</v>
      </c>
      <c r="G1828">
        <v>3.13</v>
      </c>
      <c r="H1828">
        <v>3.73</v>
      </c>
      <c r="I1828">
        <v>3.6</v>
      </c>
      <c r="J1828">
        <v>2</v>
      </c>
      <c r="K1828">
        <v>0.1</v>
      </c>
    </row>
    <row r="1829" spans="1:11" x14ac:dyDescent="0.35">
      <c r="A1829" s="204">
        <v>37174</v>
      </c>
      <c r="B1829" s="544">
        <v>5.25</v>
      </c>
      <c r="C1829">
        <v>5.15</v>
      </c>
      <c r="D1829">
        <v>6.4</v>
      </c>
      <c r="E1829">
        <v>7.05</v>
      </c>
      <c r="F1829">
        <v>1.68</v>
      </c>
      <c r="G1829">
        <v>2.88</v>
      </c>
      <c r="H1829">
        <v>3.63</v>
      </c>
      <c r="I1829">
        <v>3.5</v>
      </c>
      <c r="J1829">
        <v>1.75</v>
      </c>
      <c r="K1829">
        <v>0.1</v>
      </c>
    </row>
    <row r="1830" spans="1:11" x14ac:dyDescent="0.35">
      <c r="A1830" s="204">
        <v>37181</v>
      </c>
      <c r="B1830" s="544">
        <v>5.25</v>
      </c>
      <c r="C1830">
        <v>5.15</v>
      </c>
      <c r="D1830">
        <v>6.4</v>
      </c>
      <c r="E1830">
        <v>7.05</v>
      </c>
      <c r="F1830">
        <v>1.68</v>
      </c>
      <c r="G1830">
        <v>2.88</v>
      </c>
      <c r="H1830">
        <v>3.63</v>
      </c>
      <c r="I1830">
        <v>3.5</v>
      </c>
      <c r="J1830">
        <v>1.5</v>
      </c>
      <c r="K1830">
        <v>0.1</v>
      </c>
    </row>
    <row r="1831" spans="1:11" x14ac:dyDescent="0.35">
      <c r="A1831" s="204">
        <v>37188</v>
      </c>
      <c r="B1831" s="544">
        <v>4.5</v>
      </c>
      <c r="C1831">
        <v>4.9000000000000004</v>
      </c>
      <c r="D1831">
        <v>6.15</v>
      </c>
      <c r="E1831">
        <v>6.9</v>
      </c>
      <c r="F1831">
        <v>1.53</v>
      </c>
      <c r="G1831">
        <v>2.83</v>
      </c>
      <c r="H1831">
        <v>3.58</v>
      </c>
      <c r="I1831">
        <v>3.35</v>
      </c>
      <c r="J1831">
        <v>1.5</v>
      </c>
      <c r="K1831">
        <v>0.1</v>
      </c>
    </row>
    <row r="1832" spans="1:11" x14ac:dyDescent="0.35">
      <c r="A1832" s="204">
        <v>37195</v>
      </c>
      <c r="B1832" s="544">
        <v>4.5</v>
      </c>
      <c r="C1832">
        <v>4.9000000000000004</v>
      </c>
      <c r="D1832">
        <v>6.15</v>
      </c>
      <c r="E1832">
        <v>6.9</v>
      </c>
      <c r="F1832">
        <v>1.43</v>
      </c>
      <c r="G1832">
        <v>2.68</v>
      </c>
      <c r="H1832">
        <v>3.53</v>
      </c>
      <c r="I1832">
        <v>3.35</v>
      </c>
      <c r="J1832">
        <v>1.5</v>
      </c>
      <c r="K1832">
        <v>0.1</v>
      </c>
    </row>
    <row r="1833" spans="1:11" x14ac:dyDescent="0.35">
      <c r="A1833" s="204">
        <v>37202</v>
      </c>
      <c r="B1833" s="544">
        <v>4.5</v>
      </c>
      <c r="C1833">
        <v>4.75</v>
      </c>
      <c r="D1833">
        <v>5.85</v>
      </c>
      <c r="E1833">
        <v>6.7</v>
      </c>
      <c r="F1833">
        <v>1.43</v>
      </c>
      <c r="G1833">
        <v>2.68</v>
      </c>
      <c r="H1833">
        <v>3.53</v>
      </c>
      <c r="I1833">
        <v>3.35</v>
      </c>
      <c r="J1833">
        <v>1.25</v>
      </c>
      <c r="K1833">
        <v>0.1</v>
      </c>
    </row>
    <row r="1834" spans="1:11" x14ac:dyDescent="0.35">
      <c r="A1834" s="204">
        <v>37209</v>
      </c>
      <c r="B1834" s="544">
        <v>4.5</v>
      </c>
      <c r="C1834">
        <v>4.5</v>
      </c>
      <c r="D1834">
        <v>5.6</v>
      </c>
      <c r="E1834">
        <v>6.45</v>
      </c>
      <c r="F1834">
        <v>1.18</v>
      </c>
      <c r="G1834">
        <v>2.38</v>
      </c>
      <c r="H1834">
        <v>3.28</v>
      </c>
      <c r="I1834">
        <v>2.9</v>
      </c>
      <c r="J1834">
        <v>1.25</v>
      </c>
      <c r="K1834">
        <v>0.1</v>
      </c>
    </row>
    <row r="1835" spans="1:11" x14ac:dyDescent="0.35">
      <c r="A1835" s="204">
        <v>37216</v>
      </c>
      <c r="B1835" s="544">
        <v>4.5</v>
      </c>
      <c r="C1835">
        <v>4.5999999999999996</v>
      </c>
      <c r="D1835">
        <v>5.75</v>
      </c>
      <c r="E1835">
        <v>6.85</v>
      </c>
      <c r="F1835">
        <v>1.43</v>
      </c>
      <c r="G1835">
        <v>2.68</v>
      </c>
      <c r="H1835">
        <v>3.58</v>
      </c>
      <c r="I1835">
        <v>3.4</v>
      </c>
      <c r="J1835">
        <v>1.25</v>
      </c>
      <c r="K1835">
        <v>0.1</v>
      </c>
    </row>
    <row r="1836" spans="1:11" x14ac:dyDescent="0.35">
      <c r="A1836" s="204">
        <v>37223</v>
      </c>
      <c r="B1836" s="544">
        <v>4</v>
      </c>
      <c r="C1836">
        <v>4.5999999999999996</v>
      </c>
      <c r="D1836">
        <v>5.75</v>
      </c>
      <c r="E1836">
        <v>6.85</v>
      </c>
      <c r="F1836">
        <v>1.23</v>
      </c>
      <c r="G1836">
        <v>2.58</v>
      </c>
      <c r="H1836">
        <v>3.53</v>
      </c>
      <c r="I1836">
        <v>3.3</v>
      </c>
      <c r="J1836">
        <v>1.25</v>
      </c>
      <c r="K1836">
        <v>0.1</v>
      </c>
    </row>
    <row r="1837" spans="1:11" x14ac:dyDescent="0.35">
      <c r="A1837" s="204">
        <v>37230</v>
      </c>
      <c r="B1837" s="544">
        <v>4</v>
      </c>
      <c r="C1837">
        <v>4.5999999999999996</v>
      </c>
      <c r="D1837">
        <v>5.75</v>
      </c>
      <c r="E1837">
        <v>6.85</v>
      </c>
      <c r="F1837">
        <v>1.23</v>
      </c>
      <c r="G1837">
        <v>2.58</v>
      </c>
      <c r="H1837">
        <v>3.53</v>
      </c>
      <c r="I1837">
        <v>3.3</v>
      </c>
      <c r="J1837">
        <v>1.25</v>
      </c>
      <c r="K1837">
        <v>0.1</v>
      </c>
    </row>
    <row r="1838" spans="1:11" x14ac:dyDescent="0.35">
      <c r="A1838" s="204">
        <v>37237</v>
      </c>
      <c r="B1838" s="544">
        <v>4</v>
      </c>
      <c r="C1838">
        <v>4.5999999999999996</v>
      </c>
      <c r="D1838">
        <v>5.75</v>
      </c>
      <c r="E1838">
        <v>6.85</v>
      </c>
      <c r="F1838">
        <v>1.23</v>
      </c>
      <c r="G1838">
        <v>2.58</v>
      </c>
      <c r="H1838">
        <v>3.53</v>
      </c>
      <c r="I1838">
        <v>3.3</v>
      </c>
      <c r="J1838">
        <v>1.25</v>
      </c>
      <c r="K1838">
        <v>0.1</v>
      </c>
    </row>
    <row r="1839" spans="1:11" x14ac:dyDescent="0.35">
      <c r="A1839" s="204">
        <v>37244</v>
      </c>
      <c r="B1839" s="544">
        <v>4</v>
      </c>
      <c r="C1839">
        <v>4.5999999999999996</v>
      </c>
      <c r="D1839">
        <v>6.15</v>
      </c>
      <c r="E1839">
        <v>7.1</v>
      </c>
      <c r="F1839">
        <v>1.23</v>
      </c>
      <c r="G1839">
        <v>2.58</v>
      </c>
      <c r="H1839">
        <v>3.53</v>
      </c>
      <c r="I1839">
        <v>3.3</v>
      </c>
      <c r="J1839">
        <v>1.25</v>
      </c>
      <c r="K1839">
        <v>0.1</v>
      </c>
    </row>
    <row r="1840" spans="1:11" x14ac:dyDescent="0.35">
      <c r="A1840" s="204">
        <v>37251</v>
      </c>
      <c r="B1840" s="544">
        <v>4</v>
      </c>
      <c r="C1840">
        <v>4.5999999999999996</v>
      </c>
      <c r="D1840">
        <v>5.75</v>
      </c>
      <c r="E1840">
        <v>6.85</v>
      </c>
      <c r="F1840">
        <v>1.23</v>
      </c>
      <c r="G1840">
        <v>2.58</v>
      </c>
      <c r="H1840">
        <v>3.53</v>
      </c>
      <c r="I1840">
        <v>3.3</v>
      </c>
      <c r="J1840">
        <v>1.25</v>
      </c>
      <c r="K1840">
        <v>0.1</v>
      </c>
    </row>
    <row r="1841" spans="1:11" x14ac:dyDescent="0.35">
      <c r="A1841" s="204">
        <v>37258</v>
      </c>
      <c r="B1841" s="544">
        <v>4</v>
      </c>
      <c r="C1841">
        <v>4.5999999999999996</v>
      </c>
      <c r="D1841">
        <v>5.75</v>
      </c>
      <c r="E1841">
        <v>6.85</v>
      </c>
      <c r="F1841">
        <v>1.23</v>
      </c>
      <c r="G1841">
        <v>2.58</v>
      </c>
      <c r="H1841">
        <v>3.53</v>
      </c>
      <c r="I1841">
        <v>3.3</v>
      </c>
      <c r="J1841">
        <v>1.25</v>
      </c>
      <c r="K1841">
        <v>0.1</v>
      </c>
    </row>
    <row r="1842" spans="1:11" x14ac:dyDescent="0.35">
      <c r="A1842" s="204">
        <v>37265</v>
      </c>
      <c r="B1842" s="544">
        <v>4</v>
      </c>
      <c r="C1842">
        <v>4.5999999999999996</v>
      </c>
      <c r="D1842">
        <v>5.75</v>
      </c>
      <c r="E1842">
        <v>6.85</v>
      </c>
      <c r="F1842">
        <v>1.23</v>
      </c>
      <c r="G1842">
        <v>2.58</v>
      </c>
      <c r="H1842">
        <v>3.53</v>
      </c>
      <c r="I1842">
        <v>3.3</v>
      </c>
      <c r="J1842">
        <v>1.25</v>
      </c>
      <c r="K1842">
        <v>0.1</v>
      </c>
    </row>
    <row r="1843" spans="1:11" x14ac:dyDescent="0.35">
      <c r="A1843" s="204">
        <v>37272</v>
      </c>
      <c r="B1843" s="544">
        <v>3.75</v>
      </c>
      <c r="C1843">
        <v>4.3499999999999996</v>
      </c>
      <c r="D1843">
        <v>5.75</v>
      </c>
      <c r="E1843">
        <v>6.85</v>
      </c>
      <c r="F1843">
        <v>1.05</v>
      </c>
      <c r="G1843">
        <v>2.58</v>
      </c>
      <c r="H1843">
        <v>3.53</v>
      </c>
      <c r="I1843">
        <v>3.4</v>
      </c>
      <c r="J1843">
        <v>1.25</v>
      </c>
      <c r="K1843">
        <v>0.1</v>
      </c>
    </row>
    <row r="1844" spans="1:11" x14ac:dyDescent="0.35">
      <c r="A1844" s="204">
        <v>37279</v>
      </c>
      <c r="B1844" s="544">
        <v>3.75</v>
      </c>
      <c r="C1844">
        <v>4.3499999999999996</v>
      </c>
      <c r="D1844">
        <v>5.75</v>
      </c>
      <c r="E1844">
        <v>6.85</v>
      </c>
      <c r="F1844">
        <v>0.93</v>
      </c>
      <c r="G1844">
        <v>2.58</v>
      </c>
      <c r="H1844">
        <v>3.53</v>
      </c>
      <c r="I1844">
        <v>3.4</v>
      </c>
      <c r="J1844">
        <v>1.1000000000000001</v>
      </c>
      <c r="K1844">
        <v>0.1</v>
      </c>
    </row>
    <row r="1845" spans="1:11" x14ac:dyDescent="0.35">
      <c r="A1845" s="204">
        <v>37286</v>
      </c>
      <c r="B1845" s="544">
        <v>3.75</v>
      </c>
      <c r="C1845">
        <v>4.55</v>
      </c>
      <c r="D1845">
        <v>6.05</v>
      </c>
      <c r="E1845">
        <v>7</v>
      </c>
      <c r="F1845">
        <v>0.93</v>
      </c>
      <c r="G1845">
        <v>2.58</v>
      </c>
      <c r="H1845">
        <v>3.53</v>
      </c>
      <c r="I1845">
        <v>3.4</v>
      </c>
      <c r="J1845">
        <v>1</v>
      </c>
      <c r="K1845">
        <v>0.1</v>
      </c>
    </row>
    <row r="1846" spans="1:11" x14ac:dyDescent="0.35">
      <c r="A1846" s="204">
        <v>37293</v>
      </c>
      <c r="B1846" s="544">
        <v>3.75</v>
      </c>
      <c r="C1846">
        <v>4.55</v>
      </c>
      <c r="D1846">
        <v>5.75</v>
      </c>
      <c r="E1846">
        <v>6.85</v>
      </c>
      <c r="F1846">
        <v>1.18</v>
      </c>
      <c r="G1846">
        <v>2.58</v>
      </c>
      <c r="H1846">
        <v>3.53</v>
      </c>
      <c r="I1846">
        <v>3.4</v>
      </c>
      <c r="J1846">
        <v>1</v>
      </c>
      <c r="K1846">
        <v>0.05</v>
      </c>
    </row>
    <row r="1847" spans="1:11" x14ac:dyDescent="0.35">
      <c r="A1847" s="204">
        <v>37300</v>
      </c>
      <c r="B1847" s="544">
        <v>3.75</v>
      </c>
      <c r="C1847">
        <v>4.55</v>
      </c>
      <c r="D1847">
        <v>5.75</v>
      </c>
      <c r="E1847">
        <v>6.85</v>
      </c>
      <c r="F1847">
        <v>1.18</v>
      </c>
      <c r="G1847">
        <v>2.58</v>
      </c>
      <c r="H1847">
        <v>3.53</v>
      </c>
      <c r="I1847">
        <v>3.4</v>
      </c>
      <c r="J1847">
        <v>1</v>
      </c>
      <c r="K1847">
        <v>0.05</v>
      </c>
    </row>
    <row r="1848" spans="1:11" x14ac:dyDescent="0.35">
      <c r="A1848" s="204">
        <v>37307</v>
      </c>
      <c r="B1848" s="544">
        <v>3.75</v>
      </c>
      <c r="C1848">
        <v>4.55</v>
      </c>
      <c r="D1848">
        <v>5.75</v>
      </c>
      <c r="E1848">
        <v>6.85</v>
      </c>
      <c r="F1848">
        <v>1.18</v>
      </c>
      <c r="G1848">
        <v>2.58</v>
      </c>
      <c r="H1848">
        <v>3.53</v>
      </c>
      <c r="I1848">
        <v>3.4</v>
      </c>
      <c r="J1848">
        <v>1</v>
      </c>
      <c r="K1848">
        <v>0.05</v>
      </c>
    </row>
    <row r="1849" spans="1:11" x14ac:dyDescent="0.35">
      <c r="A1849" s="204">
        <v>37314</v>
      </c>
      <c r="B1849" s="544">
        <v>3.75</v>
      </c>
      <c r="C1849">
        <v>4.55</v>
      </c>
      <c r="D1849">
        <v>5.75</v>
      </c>
      <c r="E1849">
        <v>6.85</v>
      </c>
      <c r="F1849">
        <v>1.18</v>
      </c>
      <c r="G1849">
        <v>2.58</v>
      </c>
      <c r="H1849">
        <v>3.88</v>
      </c>
      <c r="I1849">
        <v>3.75</v>
      </c>
      <c r="J1849">
        <v>1</v>
      </c>
      <c r="K1849">
        <v>0.05</v>
      </c>
    </row>
    <row r="1850" spans="1:11" x14ac:dyDescent="0.35">
      <c r="A1850" s="204">
        <v>37321</v>
      </c>
      <c r="B1850" s="544">
        <v>3.75</v>
      </c>
      <c r="C1850">
        <v>4.55</v>
      </c>
      <c r="D1850">
        <v>5.75</v>
      </c>
      <c r="E1850">
        <v>6.85</v>
      </c>
      <c r="F1850">
        <v>1.18</v>
      </c>
      <c r="G1850">
        <v>2.58</v>
      </c>
      <c r="H1850">
        <v>3.88</v>
      </c>
      <c r="I1850">
        <v>3.75</v>
      </c>
      <c r="J1850">
        <v>1</v>
      </c>
      <c r="K1850">
        <v>0.05</v>
      </c>
    </row>
    <row r="1851" spans="1:11" x14ac:dyDescent="0.35">
      <c r="A1851" s="204">
        <v>37328</v>
      </c>
      <c r="B1851" s="544">
        <v>3.75</v>
      </c>
      <c r="C1851">
        <v>5</v>
      </c>
      <c r="D1851">
        <v>6.2</v>
      </c>
      <c r="E1851">
        <v>7.15</v>
      </c>
      <c r="F1851">
        <v>1.18</v>
      </c>
      <c r="G1851">
        <v>2.58</v>
      </c>
      <c r="H1851">
        <v>3.88</v>
      </c>
      <c r="I1851">
        <v>3.75</v>
      </c>
      <c r="J1851">
        <v>1</v>
      </c>
      <c r="K1851">
        <v>0.05</v>
      </c>
    </row>
    <row r="1852" spans="1:11" x14ac:dyDescent="0.35">
      <c r="A1852" s="204">
        <v>37335</v>
      </c>
      <c r="B1852" s="544">
        <v>3.75</v>
      </c>
      <c r="C1852">
        <v>5.3</v>
      </c>
      <c r="D1852">
        <v>6.6</v>
      </c>
      <c r="E1852">
        <v>7.3</v>
      </c>
      <c r="F1852">
        <v>1.18</v>
      </c>
      <c r="G1852">
        <v>2.58</v>
      </c>
      <c r="H1852">
        <v>3.88</v>
      </c>
      <c r="I1852">
        <v>3.75</v>
      </c>
      <c r="J1852">
        <v>1</v>
      </c>
      <c r="K1852">
        <v>0.05</v>
      </c>
    </row>
    <row r="1853" spans="1:11" x14ac:dyDescent="0.35">
      <c r="A1853" s="204">
        <v>37342</v>
      </c>
      <c r="B1853" s="544">
        <v>3.75</v>
      </c>
      <c r="C1853">
        <v>5.3</v>
      </c>
      <c r="D1853">
        <v>6.6</v>
      </c>
      <c r="E1853">
        <v>7.3</v>
      </c>
      <c r="F1853">
        <v>1.18</v>
      </c>
      <c r="G1853">
        <v>2.58</v>
      </c>
      <c r="H1853">
        <v>3.88</v>
      </c>
      <c r="I1853">
        <v>3.75</v>
      </c>
      <c r="J1853">
        <v>1</v>
      </c>
      <c r="K1853">
        <v>0.05</v>
      </c>
    </row>
    <row r="1854" spans="1:11" x14ac:dyDescent="0.35">
      <c r="A1854" s="204">
        <v>37349</v>
      </c>
      <c r="B1854" s="544">
        <v>3.75</v>
      </c>
      <c r="C1854">
        <v>5</v>
      </c>
      <c r="D1854">
        <v>6.6</v>
      </c>
      <c r="E1854">
        <v>7.3</v>
      </c>
      <c r="F1854">
        <v>1.48</v>
      </c>
      <c r="G1854">
        <v>2.88</v>
      </c>
      <c r="H1854">
        <v>4.13</v>
      </c>
      <c r="I1854">
        <v>4</v>
      </c>
      <c r="J1854">
        <v>1</v>
      </c>
      <c r="K1854">
        <v>0.05</v>
      </c>
    </row>
    <row r="1855" spans="1:11" x14ac:dyDescent="0.35">
      <c r="A1855" s="204">
        <v>37356</v>
      </c>
      <c r="B1855" s="544">
        <v>3.75</v>
      </c>
      <c r="C1855">
        <v>5</v>
      </c>
      <c r="D1855">
        <v>6.6</v>
      </c>
      <c r="E1855">
        <v>7.3</v>
      </c>
      <c r="F1855">
        <v>1.48</v>
      </c>
      <c r="G1855">
        <v>2.88</v>
      </c>
      <c r="H1855">
        <v>4.13</v>
      </c>
      <c r="I1855">
        <v>4</v>
      </c>
      <c r="J1855">
        <v>1</v>
      </c>
      <c r="K1855">
        <v>0.05</v>
      </c>
    </row>
    <row r="1856" spans="1:11" x14ac:dyDescent="0.35">
      <c r="A1856" s="204">
        <v>37363</v>
      </c>
      <c r="B1856" s="544">
        <v>4</v>
      </c>
      <c r="C1856">
        <v>5.3</v>
      </c>
      <c r="D1856">
        <v>6.6</v>
      </c>
      <c r="E1856">
        <v>7.3</v>
      </c>
      <c r="F1856">
        <v>1.48</v>
      </c>
      <c r="G1856">
        <v>2.88</v>
      </c>
      <c r="H1856">
        <v>4.13</v>
      </c>
      <c r="I1856">
        <v>4</v>
      </c>
      <c r="J1856">
        <v>1</v>
      </c>
      <c r="K1856">
        <v>0.05</v>
      </c>
    </row>
    <row r="1857" spans="1:11" x14ac:dyDescent="0.35">
      <c r="A1857" s="204">
        <v>37370</v>
      </c>
      <c r="B1857" s="544">
        <v>4</v>
      </c>
      <c r="C1857">
        <v>5.4</v>
      </c>
      <c r="D1857">
        <v>6.75</v>
      </c>
      <c r="E1857">
        <v>7.45</v>
      </c>
      <c r="F1857">
        <v>1.48</v>
      </c>
      <c r="G1857">
        <v>2.88</v>
      </c>
      <c r="H1857">
        <v>4.13</v>
      </c>
      <c r="I1857">
        <v>4</v>
      </c>
      <c r="J1857">
        <v>1</v>
      </c>
      <c r="K1857">
        <v>0.05</v>
      </c>
    </row>
    <row r="1858" spans="1:11" x14ac:dyDescent="0.35">
      <c r="A1858" s="204">
        <v>37377</v>
      </c>
      <c r="B1858" s="544">
        <v>4</v>
      </c>
      <c r="C1858">
        <v>5.4</v>
      </c>
      <c r="D1858">
        <v>6.75</v>
      </c>
      <c r="E1858">
        <v>7.45</v>
      </c>
      <c r="F1858">
        <v>1.48</v>
      </c>
      <c r="G1858">
        <v>2.88</v>
      </c>
      <c r="H1858">
        <v>4.13</v>
      </c>
      <c r="I1858">
        <v>4</v>
      </c>
      <c r="J1858">
        <v>1</v>
      </c>
      <c r="K1858">
        <v>0.05</v>
      </c>
    </row>
    <row r="1859" spans="1:11" x14ac:dyDescent="0.35">
      <c r="A1859" s="204">
        <v>37384</v>
      </c>
      <c r="B1859" s="544">
        <v>4</v>
      </c>
      <c r="C1859">
        <v>5.4</v>
      </c>
      <c r="D1859">
        <v>6.75</v>
      </c>
      <c r="E1859">
        <v>7.45</v>
      </c>
      <c r="F1859">
        <v>1.48</v>
      </c>
      <c r="G1859">
        <v>2.88</v>
      </c>
      <c r="H1859">
        <v>4.13</v>
      </c>
      <c r="I1859">
        <v>4</v>
      </c>
      <c r="J1859">
        <v>1</v>
      </c>
      <c r="K1859">
        <v>0.05</v>
      </c>
    </row>
    <row r="1860" spans="1:11" x14ac:dyDescent="0.35">
      <c r="A1860" s="204">
        <v>37391</v>
      </c>
      <c r="B1860" s="544">
        <v>4</v>
      </c>
      <c r="C1860">
        <v>5.4</v>
      </c>
      <c r="D1860">
        <v>6.6</v>
      </c>
      <c r="E1860">
        <v>7.3</v>
      </c>
      <c r="F1860">
        <v>1.48</v>
      </c>
      <c r="G1860">
        <v>2.88</v>
      </c>
      <c r="H1860">
        <v>4.13</v>
      </c>
      <c r="I1860">
        <v>4</v>
      </c>
      <c r="J1860">
        <v>1</v>
      </c>
      <c r="K1860">
        <v>0.05</v>
      </c>
    </row>
    <row r="1861" spans="1:11" x14ac:dyDescent="0.35">
      <c r="A1861" s="204">
        <v>37398</v>
      </c>
      <c r="B1861" s="544">
        <v>4</v>
      </c>
      <c r="C1861">
        <v>5.55</v>
      </c>
      <c r="D1861">
        <v>6.75</v>
      </c>
      <c r="E1861">
        <v>7.4</v>
      </c>
      <c r="F1861">
        <v>1.48</v>
      </c>
      <c r="G1861">
        <v>2.88</v>
      </c>
      <c r="H1861">
        <v>4.13</v>
      </c>
      <c r="I1861">
        <v>4</v>
      </c>
      <c r="J1861">
        <v>1</v>
      </c>
      <c r="K1861">
        <v>0.05</v>
      </c>
    </row>
    <row r="1862" spans="1:11" x14ac:dyDescent="0.35">
      <c r="A1862" s="204">
        <v>37405</v>
      </c>
      <c r="B1862" s="544">
        <v>4</v>
      </c>
      <c r="C1862">
        <v>5.55</v>
      </c>
      <c r="D1862">
        <v>6.75</v>
      </c>
      <c r="E1862">
        <v>7.4</v>
      </c>
      <c r="F1862">
        <v>1.48</v>
      </c>
      <c r="G1862">
        <v>2.88</v>
      </c>
      <c r="H1862">
        <v>4.13</v>
      </c>
      <c r="I1862">
        <v>4</v>
      </c>
      <c r="J1862">
        <v>1</v>
      </c>
      <c r="K1862">
        <v>0.05</v>
      </c>
    </row>
    <row r="1863" spans="1:11" x14ac:dyDescent="0.35">
      <c r="A1863" s="204">
        <v>37412</v>
      </c>
      <c r="B1863" s="544">
        <v>4.25</v>
      </c>
      <c r="C1863">
        <v>5.55</v>
      </c>
      <c r="D1863">
        <v>6.75</v>
      </c>
      <c r="E1863">
        <v>7.4</v>
      </c>
      <c r="F1863">
        <v>1.48</v>
      </c>
      <c r="G1863">
        <v>2.88</v>
      </c>
      <c r="H1863">
        <v>4.13</v>
      </c>
      <c r="I1863">
        <v>4</v>
      </c>
      <c r="J1863">
        <v>1</v>
      </c>
      <c r="K1863">
        <v>0.05</v>
      </c>
    </row>
    <row r="1864" spans="1:11" x14ac:dyDescent="0.35">
      <c r="A1864" s="204">
        <v>37419</v>
      </c>
      <c r="B1864" s="544">
        <v>4.25</v>
      </c>
      <c r="C1864">
        <v>5.55</v>
      </c>
      <c r="D1864">
        <v>6.75</v>
      </c>
      <c r="E1864">
        <v>7.4</v>
      </c>
      <c r="F1864">
        <v>1.48</v>
      </c>
      <c r="G1864">
        <v>2.88</v>
      </c>
      <c r="H1864">
        <v>4.13</v>
      </c>
      <c r="I1864">
        <v>4</v>
      </c>
      <c r="J1864">
        <v>1</v>
      </c>
      <c r="K1864">
        <v>0.05</v>
      </c>
    </row>
    <row r="1865" spans="1:11" x14ac:dyDescent="0.35">
      <c r="A1865" s="204">
        <v>37426</v>
      </c>
      <c r="B1865" s="544">
        <v>4.25</v>
      </c>
      <c r="C1865">
        <v>5.55</v>
      </c>
      <c r="D1865">
        <v>6.6</v>
      </c>
      <c r="E1865">
        <v>7.25</v>
      </c>
      <c r="F1865">
        <v>1.88</v>
      </c>
      <c r="G1865">
        <v>3.38</v>
      </c>
      <c r="H1865">
        <v>4.13</v>
      </c>
      <c r="I1865">
        <v>4</v>
      </c>
      <c r="J1865">
        <v>1</v>
      </c>
      <c r="K1865">
        <v>0.05</v>
      </c>
    </row>
    <row r="1866" spans="1:11" x14ac:dyDescent="0.35">
      <c r="A1866" s="204">
        <v>37433</v>
      </c>
      <c r="B1866" s="544">
        <v>4.25</v>
      </c>
      <c r="C1866">
        <v>5.55</v>
      </c>
      <c r="D1866">
        <v>6.6</v>
      </c>
      <c r="E1866">
        <v>7.25</v>
      </c>
      <c r="F1866">
        <v>1.88</v>
      </c>
      <c r="G1866">
        <v>2.88</v>
      </c>
      <c r="H1866">
        <v>4.13</v>
      </c>
      <c r="I1866">
        <v>4</v>
      </c>
      <c r="J1866">
        <v>1</v>
      </c>
      <c r="K1866">
        <v>0.05</v>
      </c>
    </row>
    <row r="1867" spans="1:11" x14ac:dyDescent="0.35">
      <c r="A1867" s="204">
        <v>37440</v>
      </c>
      <c r="B1867" s="544">
        <v>4.25</v>
      </c>
      <c r="C1867">
        <v>5.55</v>
      </c>
      <c r="D1867">
        <v>6.6</v>
      </c>
      <c r="E1867">
        <v>7.25</v>
      </c>
      <c r="F1867">
        <v>1.88</v>
      </c>
      <c r="G1867">
        <v>2.88</v>
      </c>
      <c r="H1867">
        <v>4.13</v>
      </c>
      <c r="I1867">
        <v>4</v>
      </c>
      <c r="J1867">
        <v>1</v>
      </c>
      <c r="K1867">
        <v>0.05</v>
      </c>
    </row>
    <row r="1868" spans="1:11" x14ac:dyDescent="0.35">
      <c r="A1868" s="204">
        <v>37447</v>
      </c>
      <c r="B1868" s="544">
        <v>4.25</v>
      </c>
      <c r="C1868">
        <v>5.55</v>
      </c>
      <c r="D1868">
        <v>6.6</v>
      </c>
      <c r="E1868">
        <v>7.25</v>
      </c>
      <c r="F1868">
        <v>1.88</v>
      </c>
      <c r="G1868">
        <v>2.88</v>
      </c>
      <c r="H1868">
        <v>4.13</v>
      </c>
      <c r="I1868">
        <v>4</v>
      </c>
      <c r="J1868">
        <v>1</v>
      </c>
      <c r="K1868">
        <v>0.05</v>
      </c>
    </row>
    <row r="1869" spans="1:11" x14ac:dyDescent="0.35">
      <c r="A1869" s="204">
        <v>37454</v>
      </c>
      <c r="B1869" s="544">
        <v>4.5</v>
      </c>
      <c r="C1869">
        <v>5.55</v>
      </c>
      <c r="D1869">
        <v>6.6</v>
      </c>
      <c r="E1869">
        <v>7.25</v>
      </c>
      <c r="F1869">
        <v>1.88</v>
      </c>
      <c r="G1869">
        <v>2.88</v>
      </c>
      <c r="H1869">
        <v>4.13</v>
      </c>
      <c r="I1869">
        <v>4</v>
      </c>
      <c r="J1869">
        <v>1</v>
      </c>
      <c r="K1869">
        <v>0.05</v>
      </c>
    </row>
    <row r="1870" spans="1:11" x14ac:dyDescent="0.35">
      <c r="A1870" s="204">
        <v>37461</v>
      </c>
      <c r="B1870" s="544">
        <v>4.5</v>
      </c>
      <c r="C1870">
        <v>5.55</v>
      </c>
      <c r="D1870">
        <v>6.6</v>
      </c>
      <c r="E1870">
        <v>7.25</v>
      </c>
      <c r="F1870">
        <v>1.88</v>
      </c>
      <c r="G1870">
        <v>2.88</v>
      </c>
      <c r="H1870">
        <v>4.13</v>
      </c>
      <c r="I1870">
        <v>4</v>
      </c>
      <c r="J1870">
        <v>1</v>
      </c>
      <c r="K1870">
        <v>0.05</v>
      </c>
    </row>
    <row r="1871" spans="1:11" x14ac:dyDescent="0.35">
      <c r="A1871" s="204">
        <v>37468</v>
      </c>
      <c r="B1871" s="544">
        <v>4.5</v>
      </c>
      <c r="C1871">
        <v>5.35</v>
      </c>
      <c r="D1871">
        <v>6.4</v>
      </c>
      <c r="E1871">
        <v>7.05</v>
      </c>
      <c r="F1871">
        <v>1.88</v>
      </c>
      <c r="G1871">
        <v>2.68</v>
      </c>
      <c r="H1871">
        <v>3.88</v>
      </c>
      <c r="I1871">
        <v>3.75</v>
      </c>
      <c r="J1871">
        <v>1</v>
      </c>
      <c r="K1871">
        <v>0.05</v>
      </c>
    </row>
    <row r="1872" spans="1:11" x14ac:dyDescent="0.35">
      <c r="A1872" s="204">
        <v>37475</v>
      </c>
      <c r="B1872" s="544">
        <v>4.5</v>
      </c>
      <c r="C1872">
        <v>5.35</v>
      </c>
      <c r="D1872">
        <v>6.15</v>
      </c>
      <c r="E1872">
        <v>6.85</v>
      </c>
      <c r="F1872">
        <v>1.88</v>
      </c>
      <c r="G1872">
        <v>2.68</v>
      </c>
      <c r="H1872">
        <v>3.88</v>
      </c>
      <c r="I1872">
        <v>3.45</v>
      </c>
      <c r="J1872">
        <v>1</v>
      </c>
      <c r="K1872">
        <v>0.05</v>
      </c>
    </row>
    <row r="1873" spans="1:11" x14ac:dyDescent="0.35">
      <c r="A1873" s="204">
        <v>37482</v>
      </c>
      <c r="B1873" s="544">
        <v>4.5</v>
      </c>
      <c r="C1873">
        <v>5.35</v>
      </c>
      <c r="D1873">
        <v>6.15</v>
      </c>
      <c r="E1873">
        <v>6.8</v>
      </c>
      <c r="F1873">
        <v>1.88</v>
      </c>
      <c r="G1873">
        <v>2.38</v>
      </c>
      <c r="H1873">
        <v>3.58</v>
      </c>
      <c r="I1873">
        <v>3.45</v>
      </c>
      <c r="J1873">
        <v>1</v>
      </c>
      <c r="K1873">
        <v>0.05</v>
      </c>
    </row>
    <row r="1874" spans="1:11" x14ac:dyDescent="0.35">
      <c r="A1874" s="204">
        <v>37489</v>
      </c>
      <c r="B1874" s="544">
        <v>4.5</v>
      </c>
      <c r="C1874">
        <v>5.35</v>
      </c>
      <c r="D1874">
        <v>6.15</v>
      </c>
      <c r="E1874">
        <v>6.8</v>
      </c>
      <c r="F1874">
        <v>1.88</v>
      </c>
      <c r="G1874">
        <v>2.38</v>
      </c>
      <c r="H1874">
        <v>3.58</v>
      </c>
      <c r="I1874">
        <v>3.45</v>
      </c>
      <c r="J1874">
        <v>1</v>
      </c>
      <c r="K1874">
        <v>0.05</v>
      </c>
    </row>
    <row r="1875" spans="1:11" x14ac:dyDescent="0.35">
      <c r="A1875" s="204">
        <v>37496</v>
      </c>
      <c r="B1875" s="544">
        <v>4.5</v>
      </c>
      <c r="C1875">
        <v>5.35</v>
      </c>
      <c r="D1875">
        <v>6.15</v>
      </c>
      <c r="E1875">
        <v>6.8</v>
      </c>
      <c r="F1875">
        <v>1.88</v>
      </c>
      <c r="G1875">
        <v>2.88</v>
      </c>
      <c r="H1875">
        <v>3.93</v>
      </c>
      <c r="I1875">
        <v>3.8</v>
      </c>
      <c r="J1875">
        <v>1</v>
      </c>
      <c r="K1875">
        <v>0.05</v>
      </c>
    </row>
    <row r="1876" spans="1:11" x14ac:dyDescent="0.35">
      <c r="A1876" s="204">
        <v>37503</v>
      </c>
      <c r="B1876" s="544">
        <v>4.5</v>
      </c>
      <c r="C1876">
        <v>5.35</v>
      </c>
      <c r="D1876">
        <v>6.3</v>
      </c>
      <c r="E1876">
        <v>6.95</v>
      </c>
      <c r="F1876">
        <v>1.88</v>
      </c>
      <c r="G1876">
        <v>2.88</v>
      </c>
      <c r="H1876">
        <v>3.93</v>
      </c>
      <c r="I1876">
        <v>3.8</v>
      </c>
      <c r="J1876">
        <v>1</v>
      </c>
      <c r="K1876">
        <v>0.05</v>
      </c>
    </row>
    <row r="1877" spans="1:11" x14ac:dyDescent="0.35">
      <c r="A1877" s="204">
        <v>37510</v>
      </c>
      <c r="B1877" s="544">
        <v>4.5</v>
      </c>
      <c r="C1877">
        <v>5.3</v>
      </c>
      <c r="D1877">
        <v>6.05</v>
      </c>
      <c r="E1877">
        <v>6.7</v>
      </c>
      <c r="F1877">
        <v>1.88</v>
      </c>
      <c r="G1877">
        <v>2.88</v>
      </c>
      <c r="H1877">
        <v>3.93</v>
      </c>
      <c r="I1877">
        <v>3.8</v>
      </c>
      <c r="J1877">
        <v>1</v>
      </c>
      <c r="K1877">
        <v>0.05</v>
      </c>
    </row>
    <row r="1878" spans="1:11" x14ac:dyDescent="0.35">
      <c r="A1878" s="204">
        <v>37517</v>
      </c>
      <c r="B1878" s="544">
        <v>4.5</v>
      </c>
      <c r="C1878">
        <v>5.3</v>
      </c>
      <c r="D1878">
        <v>6.05</v>
      </c>
      <c r="E1878">
        <v>6.7</v>
      </c>
      <c r="F1878">
        <v>1.88</v>
      </c>
      <c r="G1878">
        <v>2.88</v>
      </c>
      <c r="H1878">
        <v>3.93</v>
      </c>
      <c r="I1878">
        <v>3.8</v>
      </c>
      <c r="J1878">
        <v>1</v>
      </c>
      <c r="K1878">
        <v>0.05</v>
      </c>
    </row>
    <row r="1879" spans="1:11" x14ac:dyDescent="0.35">
      <c r="A1879" s="204">
        <v>37524</v>
      </c>
      <c r="B1879" s="544">
        <v>4.5</v>
      </c>
      <c r="C1879">
        <v>5.3</v>
      </c>
      <c r="D1879">
        <v>6.05</v>
      </c>
      <c r="E1879">
        <v>6.7</v>
      </c>
      <c r="F1879">
        <v>1.88</v>
      </c>
      <c r="G1879">
        <v>2.88</v>
      </c>
      <c r="H1879">
        <v>3.63</v>
      </c>
      <c r="I1879">
        <v>3.5</v>
      </c>
      <c r="J1879">
        <v>1</v>
      </c>
      <c r="K1879">
        <v>0.05</v>
      </c>
    </row>
    <row r="1880" spans="1:11" x14ac:dyDescent="0.35">
      <c r="A1880" s="204">
        <v>37531</v>
      </c>
      <c r="B1880" s="544">
        <v>4.5</v>
      </c>
      <c r="C1880">
        <v>5.3</v>
      </c>
      <c r="D1880">
        <v>6.05</v>
      </c>
      <c r="E1880">
        <v>6.7</v>
      </c>
      <c r="F1880">
        <v>1.88</v>
      </c>
      <c r="G1880">
        <v>2.88</v>
      </c>
      <c r="H1880">
        <v>3.63</v>
      </c>
      <c r="I1880">
        <v>3.5</v>
      </c>
      <c r="J1880">
        <v>1</v>
      </c>
      <c r="K1880">
        <v>0.05</v>
      </c>
    </row>
    <row r="1881" spans="1:11" x14ac:dyDescent="0.35">
      <c r="A1881" s="204">
        <v>37538</v>
      </c>
      <c r="B1881" s="544">
        <v>4.5</v>
      </c>
      <c r="C1881">
        <v>5.3</v>
      </c>
      <c r="D1881">
        <v>6.05</v>
      </c>
      <c r="E1881">
        <v>6.7</v>
      </c>
      <c r="F1881">
        <v>1.88</v>
      </c>
      <c r="G1881">
        <v>2.88</v>
      </c>
      <c r="H1881">
        <v>3.63</v>
      </c>
      <c r="I1881">
        <v>3.5</v>
      </c>
      <c r="J1881">
        <v>1</v>
      </c>
      <c r="K1881">
        <v>0.05</v>
      </c>
    </row>
    <row r="1882" spans="1:11" x14ac:dyDescent="0.35">
      <c r="A1882" s="204">
        <v>37545</v>
      </c>
      <c r="B1882" s="544">
        <v>4.5</v>
      </c>
      <c r="C1882">
        <v>5.3</v>
      </c>
      <c r="D1882">
        <v>6.05</v>
      </c>
      <c r="E1882">
        <v>6.7</v>
      </c>
      <c r="F1882">
        <v>1.88</v>
      </c>
      <c r="G1882">
        <v>2.88</v>
      </c>
      <c r="H1882">
        <v>3.63</v>
      </c>
      <c r="I1882">
        <v>3.5</v>
      </c>
      <c r="J1882">
        <v>1</v>
      </c>
      <c r="K1882">
        <v>0.05</v>
      </c>
    </row>
    <row r="1883" spans="1:11" x14ac:dyDescent="0.35">
      <c r="A1883" s="204">
        <v>37552</v>
      </c>
      <c r="B1883" s="544">
        <v>4.5</v>
      </c>
      <c r="C1883">
        <v>5.3</v>
      </c>
      <c r="D1883">
        <v>6.2</v>
      </c>
      <c r="E1883">
        <v>7</v>
      </c>
      <c r="F1883">
        <v>1.88</v>
      </c>
      <c r="G1883">
        <v>2.88</v>
      </c>
      <c r="H1883">
        <v>3.63</v>
      </c>
      <c r="I1883">
        <v>3.5</v>
      </c>
      <c r="J1883">
        <v>1</v>
      </c>
      <c r="K1883">
        <v>0.05</v>
      </c>
    </row>
    <row r="1884" spans="1:11" x14ac:dyDescent="0.35">
      <c r="A1884" s="204">
        <v>37559</v>
      </c>
      <c r="B1884" s="544">
        <v>4.5</v>
      </c>
      <c r="C1884">
        <v>5.3</v>
      </c>
      <c r="D1884">
        <v>6.2</v>
      </c>
      <c r="E1884">
        <v>7</v>
      </c>
      <c r="F1884">
        <v>1.88</v>
      </c>
      <c r="G1884">
        <v>2.88</v>
      </c>
      <c r="H1884">
        <v>3.93</v>
      </c>
      <c r="I1884">
        <v>3.8</v>
      </c>
      <c r="J1884">
        <v>1</v>
      </c>
      <c r="K1884">
        <v>0.05</v>
      </c>
    </row>
    <row r="1885" spans="1:11" x14ac:dyDescent="0.35">
      <c r="A1885" s="204">
        <v>37566</v>
      </c>
      <c r="B1885" s="544">
        <v>4.5</v>
      </c>
      <c r="C1885">
        <v>5.0999999999999996</v>
      </c>
      <c r="D1885">
        <v>6</v>
      </c>
      <c r="E1885">
        <v>6.8</v>
      </c>
      <c r="F1885">
        <v>1.88</v>
      </c>
      <c r="G1885">
        <v>2.88</v>
      </c>
      <c r="H1885">
        <v>3.93</v>
      </c>
      <c r="I1885">
        <v>3.8</v>
      </c>
      <c r="J1885">
        <v>1</v>
      </c>
      <c r="K1885">
        <v>0.05</v>
      </c>
    </row>
    <row r="1886" spans="1:11" x14ac:dyDescent="0.35">
      <c r="A1886" s="204">
        <v>37573</v>
      </c>
      <c r="B1886" s="544">
        <v>4.5</v>
      </c>
      <c r="C1886">
        <v>4.9000000000000004</v>
      </c>
      <c r="D1886">
        <v>6</v>
      </c>
      <c r="E1886">
        <v>6.7</v>
      </c>
      <c r="F1886">
        <v>1.88</v>
      </c>
      <c r="G1886">
        <v>2.88</v>
      </c>
      <c r="H1886">
        <v>3.93</v>
      </c>
      <c r="I1886">
        <v>3.8</v>
      </c>
      <c r="J1886">
        <v>1</v>
      </c>
      <c r="K1886">
        <v>0.05</v>
      </c>
    </row>
    <row r="1887" spans="1:11" x14ac:dyDescent="0.35">
      <c r="A1887" s="204">
        <v>37580</v>
      </c>
      <c r="B1887" s="544">
        <v>4.5</v>
      </c>
      <c r="C1887">
        <v>4.9000000000000004</v>
      </c>
      <c r="D1887">
        <v>6</v>
      </c>
      <c r="E1887">
        <v>6.7</v>
      </c>
      <c r="F1887">
        <v>1.88</v>
      </c>
      <c r="G1887">
        <v>2.88</v>
      </c>
      <c r="H1887">
        <v>3.93</v>
      </c>
      <c r="I1887">
        <v>3.8</v>
      </c>
      <c r="J1887">
        <v>1</v>
      </c>
      <c r="K1887">
        <v>0.05</v>
      </c>
    </row>
    <row r="1888" spans="1:11" x14ac:dyDescent="0.35">
      <c r="A1888" s="204">
        <v>37587</v>
      </c>
      <c r="B1888" s="544">
        <v>4.5</v>
      </c>
      <c r="C1888">
        <v>4.9000000000000004</v>
      </c>
      <c r="D1888">
        <v>6</v>
      </c>
      <c r="E1888">
        <v>6.7</v>
      </c>
      <c r="F1888">
        <v>1.88</v>
      </c>
      <c r="G1888">
        <v>2.88</v>
      </c>
      <c r="H1888">
        <v>3.93</v>
      </c>
      <c r="I1888">
        <v>3.8</v>
      </c>
      <c r="J1888">
        <v>1</v>
      </c>
      <c r="K1888">
        <v>0.05</v>
      </c>
    </row>
    <row r="1889" spans="1:11" x14ac:dyDescent="0.35">
      <c r="A1889" s="204">
        <v>37594</v>
      </c>
      <c r="B1889" s="544">
        <v>4.5</v>
      </c>
      <c r="C1889">
        <v>4.9000000000000004</v>
      </c>
      <c r="D1889">
        <v>6</v>
      </c>
      <c r="E1889">
        <v>6.7</v>
      </c>
      <c r="F1889">
        <v>1.88</v>
      </c>
      <c r="G1889">
        <v>2.88</v>
      </c>
      <c r="H1889">
        <v>3.93</v>
      </c>
      <c r="I1889">
        <v>3.8</v>
      </c>
      <c r="J1889">
        <v>1</v>
      </c>
      <c r="K1889">
        <v>0.05</v>
      </c>
    </row>
    <row r="1890" spans="1:11" x14ac:dyDescent="0.35">
      <c r="A1890" s="204">
        <v>37601</v>
      </c>
      <c r="B1890" s="544">
        <v>4.5</v>
      </c>
      <c r="C1890">
        <v>4.9000000000000004</v>
      </c>
      <c r="D1890">
        <v>6</v>
      </c>
      <c r="E1890">
        <v>6.7</v>
      </c>
      <c r="F1890">
        <v>1.88</v>
      </c>
      <c r="G1890">
        <v>2.88</v>
      </c>
      <c r="H1890">
        <v>3.93</v>
      </c>
      <c r="I1890">
        <v>3.8</v>
      </c>
      <c r="J1890">
        <v>1</v>
      </c>
      <c r="K1890">
        <v>0.05</v>
      </c>
    </row>
    <row r="1891" spans="1:11" x14ac:dyDescent="0.35">
      <c r="A1891" s="204">
        <v>37608</v>
      </c>
      <c r="B1891" s="544">
        <v>4.5</v>
      </c>
      <c r="C1891">
        <v>4.9000000000000004</v>
      </c>
      <c r="D1891">
        <v>6</v>
      </c>
      <c r="E1891">
        <v>6.7</v>
      </c>
      <c r="F1891">
        <v>1.88</v>
      </c>
      <c r="G1891">
        <v>2.88</v>
      </c>
      <c r="H1891">
        <v>3.93</v>
      </c>
      <c r="I1891">
        <v>3.8</v>
      </c>
      <c r="J1891">
        <v>1</v>
      </c>
      <c r="K1891">
        <v>0.05</v>
      </c>
    </row>
    <row r="1892" spans="1:11" x14ac:dyDescent="0.35">
      <c r="A1892" s="204">
        <v>37615</v>
      </c>
      <c r="B1892" s="544">
        <v>4.5</v>
      </c>
      <c r="C1892">
        <v>4.9000000000000004</v>
      </c>
      <c r="D1892">
        <v>6</v>
      </c>
      <c r="E1892">
        <v>6.7</v>
      </c>
      <c r="F1892">
        <v>1.88</v>
      </c>
      <c r="G1892">
        <v>2.88</v>
      </c>
      <c r="H1892">
        <v>3.93</v>
      </c>
      <c r="I1892">
        <v>3.8</v>
      </c>
      <c r="J1892">
        <v>1</v>
      </c>
      <c r="K1892">
        <v>0.05</v>
      </c>
    </row>
    <row r="1893" spans="1:11" x14ac:dyDescent="0.35">
      <c r="A1893" s="204">
        <v>37622</v>
      </c>
      <c r="B1893" s="544">
        <v>4.5</v>
      </c>
      <c r="C1893">
        <v>4.9000000000000004</v>
      </c>
      <c r="D1893">
        <v>6</v>
      </c>
      <c r="E1893">
        <v>6.7</v>
      </c>
      <c r="F1893">
        <v>1.88</v>
      </c>
      <c r="G1893">
        <v>2.88</v>
      </c>
      <c r="H1893">
        <v>3.93</v>
      </c>
      <c r="I1893">
        <v>3.35</v>
      </c>
      <c r="J1893">
        <v>1</v>
      </c>
      <c r="K1893">
        <v>0.05</v>
      </c>
    </row>
    <row r="1894" spans="1:11" x14ac:dyDescent="0.35">
      <c r="A1894" s="204">
        <v>37629</v>
      </c>
      <c r="B1894" s="544">
        <v>4.5</v>
      </c>
      <c r="C1894">
        <v>4.9000000000000004</v>
      </c>
      <c r="D1894">
        <v>6</v>
      </c>
      <c r="E1894">
        <v>6.7</v>
      </c>
      <c r="F1894">
        <v>1.88</v>
      </c>
      <c r="G1894">
        <v>2.88</v>
      </c>
      <c r="H1894">
        <v>3.48</v>
      </c>
      <c r="I1894">
        <v>3.35</v>
      </c>
      <c r="J1894">
        <v>1</v>
      </c>
      <c r="K1894">
        <v>0.05</v>
      </c>
    </row>
    <row r="1895" spans="1:11" x14ac:dyDescent="0.35">
      <c r="A1895" s="204">
        <v>37636</v>
      </c>
      <c r="B1895" s="544">
        <v>4.5</v>
      </c>
      <c r="C1895">
        <v>4.9000000000000004</v>
      </c>
      <c r="D1895">
        <v>6</v>
      </c>
      <c r="E1895">
        <v>6.45</v>
      </c>
      <c r="F1895">
        <v>1.88</v>
      </c>
      <c r="G1895">
        <v>2.88</v>
      </c>
      <c r="H1895">
        <v>3.48</v>
      </c>
      <c r="I1895">
        <v>3.35</v>
      </c>
      <c r="J1895">
        <v>1</v>
      </c>
      <c r="K1895">
        <v>0.05</v>
      </c>
    </row>
    <row r="1896" spans="1:11" x14ac:dyDescent="0.35">
      <c r="A1896" s="204">
        <v>37643</v>
      </c>
      <c r="B1896" s="544">
        <v>4.5</v>
      </c>
      <c r="C1896">
        <v>4.9000000000000004</v>
      </c>
      <c r="D1896">
        <v>6</v>
      </c>
      <c r="E1896">
        <v>6.45</v>
      </c>
      <c r="F1896">
        <v>1.88</v>
      </c>
      <c r="G1896">
        <v>2.88</v>
      </c>
      <c r="H1896">
        <v>3.48</v>
      </c>
      <c r="I1896">
        <v>3.35</v>
      </c>
      <c r="J1896">
        <v>1</v>
      </c>
      <c r="K1896">
        <v>0.05</v>
      </c>
    </row>
    <row r="1897" spans="1:11" x14ac:dyDescent="0.35">
      <c r="A1897" s="204">
        <v>37650</v>
      </c>
      <c r="B1897" s="544">
        <v>4.5</v>
      </c>
      <c r="C1897">
        <v>4.9000000000000004</v>
      </c>
      <c r="D1897">
        <v>6</v>
      </c>
      <c r="E1897">
        <v>6.45</v>
      </c>
      <c r="F1897">
        <v>1.88</v>
      </c>
      <c r="G1897">
        <v>2.88</v>
      </c>
      <c r="H1897">
        <v>3.48</v>
      </c>
      <c r="I1897">
        <v>3.35</v>
      </c>
      <c r="J1897">
        <v>1</v>
      </c>
      <c r="K1897">
        <v>0.05</v>
      </c>
    </row>
    <row r="1898" spans="1:11" x14ac:dyDescent="0.35">
      <c r="A1898" s="204">
        <v>37657</v>
      </c>
      <c r="B1898" s="544">
        <v>4.5</v>
      </c>
      <c r="C1898">
        <v>4.9000000000000004</v>
      </c>
      <c r="D1898">
        <v>6</v>
      </c>
      <c r="E1898">
        <v>6.6</v>
      </c>
      <c r="F1898">
        <v>1.88</v>
      </c>
      <c r="G1898">
        <v>2.88</v>
      </c>
      <c r="H1898">
        <v>3.48</v>
      </c>
      <c r="I1898">
        <v>3.35</v>
      </c>
      <c r="J1898">
        <v>1</v>
      </c>
      <c r="K1898">
        <v>0.05</v>
      </c>
    </row>
    <row r="1899" spans="1:11" x14ac:dyDescent="0.35">
      <c r="A1899" s="204">
        <v>37664</v>
      </c>
      <c r="B1899" s="544">
        <v>4.5</v>
      </c>
      <c r="C1899">
        <v>4.9000000000000004</v>
      </c>
      <c r="D1899">
        <v>6</v>
      </c>
      <c r="E1899">
        <v>6.6</v>
      </c>
      <c r="F1899">
        <v>1.88</v>
      </c>
      <c r="G1899">
        <v>2.88</v>
      </c>
      <c r="H1899">
        <v>3.48</v>
      </c>
      <c r="I1899">
        <v>3.35</v>
      </c>
      <c r="J1899">
        <v>1</v>
      </c>
      <c r="K1899">
        <v>0.05</v>
      </c>
    </row>
    <row r="1900" spans="1:11" x14ac:dyDescent="0.35">
      <c r="A1900" s="204">
        <v>37671</v>
      </c>
      <c r="B1900" s="544">
        <v>4.5</v>
      </c>
      <c r="C1900">
        <v>4.9000000000000004</v>
      </c>
      <c r="D1900">
        <v>6</v>
      </c>
      <c r="E1900">
        <v>6.6</v>
      </c>
      <c r="F1900">
        <v>1.88</v>
      </c>
      <c r="G1900">
        <v>2.88</v>
      </c>
      <c r="H1900">
        <v>3.48</v>
      </c>
      <c r="I1900">
        <v>3.35</v>
      </c>
      <c r="J1900">
        <v>1</v>
      </c>
      <c r="K1900">
        <v>0.05</v>
      </c>
    </row>
    <row r="1901" spans="1:11" x14ac:dyDescent="0.35">
      <c r="A1901" s="204">
        <v>37678</v>
      </c>
      <c r="B1901" s="544">
        <v>4.5</v>
      </c>
      <c r="C1901">
        <v>4.9000000000000004</v>
      </c>
      <c r="D1901">
        <v>6</v>
      </c>
      <c r="E1901">
        <v>6.6</v>
      </c>
      <c r="F1901">
        <v>1.88</v>
      </c>
      <c r="G1901">
        <v>2.88</v>
      </c>
      <c r="H1901">
        <v>3.48</v>
      </c>
      <c r="I1901">
        <v>3.35</v>
      </c>
      <c r="J1901">
        <v>1</v>
      </c>
      <c r="K1901">
        <v>0.05</v>
      </c>
    </row>
    <row r="1902" spans="1:11" x14ac:dyDescent="0.35">
      <c r="A1902" s="204">
        <v>37685</v>
      </c>
      <c r="B1902" s="544">
        <v>4.75</v>
      </c>
      <c r="C1902">
        <v>4.9000000000000004</v>
      </c>
      <c r="D1902">
        <v>6</v>
      </c>
      <c r="E1902">
        <v>6.6</v>
      </c>
      <c r="F1902">
        <v>1.88</v>
      </c>
      <c r="G1902">
        <v>2.88</v>
      </c>
      <c r="H1902">
        <v>3.48</v>
      </c>
      <c r="I1902">
        <v>3.35</v>
      </c>
      <c r="J1902">
        <v>1</v>
      </c>
      <c r="K1902">
        <v>0.05</v>
      </c>
    </row>
    <row r="1903" spans="1:11" x14ac:dyDescent="0.35">
      <c r="A1903" s="204">
        <v>37692</v>
      </c>
      <c r="B1903" s="544">
        <v>4.75</v>
      </c>
      <c r="C1903">
        <v>5.0999999999999996</v>
      </c>
      <c r="D1903">
        <v>6</v>
      </c>
      <c r="E1903">
        <v>6.6</v>
      </c>
      <c r="F1903">
        <v>1.88</v>
      </c>
      <c r="G1903">
        <v>2.88</v>
      </c>
      <c r="H1903">
        <v>3.48</v>
      </c>
      <c r="I1903">
        <v>3.35</v>
      </c>
      <c r="J1903">
        <v>1</v>
      </c>
      <c r="K1903">
        <v>0.05</v>
      </c>
    </row>
    <row r="1904" spans="1:11" x14ac:dyDescent="0.35">
      <c r="A1904" s="204">
        <v>37699</v>
      </c>
      <c r="B1904" s="544">
        <v>4.75</v>
      </c>
      <c r="C1904">
        <v>5.0999999999999996</v>
      </c>
      <c r="D1904">
        <v>6</v>
      </c>
      <c r="E1904">
        <v>6.6</v>
      </c>
      <c r="F1904">
        <v>1.88</v>
      </c>
      <c r="G1904">
        <v>2.88</v>
      </c>
      <c r="H1904">
        <v>3.48</v>
      </c>
      <c r="I1904">
        <v>3.35</v>
      </c>
      <c r="J1904">
        <v>1</v>
      </c>
      <c r="K1904">
        <v>0.05</v>
      </c>
    </row>
    <row r="1905" spans="1:11" x14ac:dyDescent="0.35">
      <c r="A1905" s="204">
        <v>37706</v>
      </c>
      <c r="B1905" s="544">
        <v>4.75</v>
      </c>
      <c r="C1905">
        <v>5.35</v>
      </c>
      <c r="D1905">
        <v>6.25</v>
      </c>
      <c r="E1905">
        <v>6.85</v>
      </c>
      <c r="F1905">
        <v>1.88</v>
      </c>
      <c r="G1905">
        <v>2.88</v>
      </c>
      <c r="H1905">
        <v>3.48</v>
      </c>
      <c r="I1905">
        <v>3.35</v>
      </c>
      <c r="J1905">
        <v>1</v>
      </c>
      <c r="K1905">
        <v>0.05</v>
      </c>
    </row>
    <row r="1906" spans="1:11" x14ac:dyDescent="0.35">
      <c r="A1906" s="204">
        <v>37713</v>
      </c>
      <c r="B1906" s="544">
        <v>4.75</v>
      </c>
      <c r="C1906">
        <v>5.35</v>
      </c>
      <c r="D1906">
        <v>6.25</v>
      </c>
      <c r="E1906">
        <v>6.85</v>
      </c>
      <c r="F1906">
        <v>1.88</v>
      </c>
      <c r="G1906">
        <v>2.88</v>
      </c>
      <c r="H1906">
        <v>3.48</v>
      </c>
      <c r="I1906">
        <v>3.35</v>
      </c>
      <c r="J1906">
        <v>1</v>
      </c>
      <c r="K1906">
        <v>0.05</v>
      </c>
    </row>
    <row r="1907" spans="1:11" x14ac:dyDescent="0.35">
      <c r="A1907" s="204">
        <v>37720</v>
      </c>
      <c r="B1907" s="544">
        <v>4.75</v>
      </c>
      <c r="C1907">
        <v>5.35</v>
      </c>
      <c r="D1907">
        <v>6.25</v>
      </c>
      <c r="E1907">
        <v>6.85</v>
      </c>
      <c r="F1907">
        <v>1.88</v>
      </c>
      <c r="G1907">
        <v>2.88</v>
      </c>
      <c r="H1907">
        <v>3.48</v>
      </c>
      <c r="I1907">
        <v>3.35</v>
      </c>
      <c r="J1907">
        <v>1</v>
      </c>
      <c r="K1907">
        <v>0.05</v>
      </c>
    </row>
    <row r="1908" spans="1:11" x14ac:dyDescent="0.35">
      <c r="A1908" s="204">
        <v>37727</v>
      </c>
      <c r="B1908" s="544">
        <v>5</v>
      </c>
      <c r="C1908">
        <v>5.35</v>
      </c>
      <c r="D1908">
        <v>6.25</v>
      </c>
      <c r="E1908">
        <v>6.85</v>
      </c>
      <c r="F1908">
        <v>1.88</v>
      </c>
      <c r="G1908">
        <v>2.88</v>
      </c>
      <c r="H1908">
        <v>3.48</v>
      </c>
      <c r="I1908">
        <v>3.35</v>
      </c>
      <c r="J1908">
        <v>1</v>
      </c>
      <c r="K1908">
        <v>0.05</v>
      </c>
    </row>
    <row r="1909" spans="1:11" x14ac:dyDescent="0.35">
      <c r="A1909" s="204">
        <v>37734</v>
      </c>
      <c r="B1909" s="544">
        <v>5</v>
      </c>
      <c r="C1909">
        <v>5.35</v>
      </c>
      <c r="D1909">
        <v>6.25</v>
      </c>
      <c r="E1909">
        <v>6.85</v>
      </c>
      <c r="F1909">
        <v>1.88</v>
      </c>
      <c r="G1909">
        <v>2.88</v>
      </c>
      <c r="H1909">
        <v>3.48</v>
      </c>
      <c r="I1909">
        <v>3.35</v>
      </c>
      <c r="J1909">
        <v>1</v>
      </c>
      <c r="K1909">
        <v>0.05</v>
      </c>
    </row>
    <row r="1910" spans="1:11" x14ac:dyDescent="0.35">
      <c r="A1910" s="204">
        <v>37741</v>
      </c>
      <c r="B1910" s="544">
        <v>5</v>
      </c>
      <c r="C1910">
        <v>5.35</v>
      </c>
      <c r="D1910">
        <v>6.25</v>
      </c>
      <c r="E1910">
        <v>6.65</v>
      </c>
      <c r="F1910">
        <v>1.88</v>
      </c>
      <c r="G1910">
        <v>2.88</v>
      </c>
      <c r="H1910">
        <v>3.48</v>
      </c>
      <c r="I1910">
        <v>3.35</v>
      </c>
      <c r="J1910">
        <v>1</v>
      </c>
      <c r="K1910">
        <v>0.05</v>
      </c>
    </row>
    <row r="1911" spans="1:11" x14ac:dyDescent="0.35">
      <c r="A1911" s="204">
        <v>37748</v>
      </c>
      <c r="B1911" s="544">
        <v>5</v>
      </c>
      <c r="C1911">
        <v>5.35</v>
      </c>
      <c r="D1911">
        <v>6.1</v>
      </c>
      <c r="E1911">
        <v>6.5</v>
      </c>
      <c r="F1911">
        <v>1.88</v>
      </c>
      <c r="G1911">
        <v>2.88</v>
      </c>
      <c r="H1911">
        <v>3.48</v>
      </c>
      <c r="I1911">
        <v>3.35</v>
      </c>
      <c r="J1911">
        <v>1</v>
      </c>
      <c r="K1911">
        <v>0.05</v>
      </c>
    </row>
    <row r="1912" spans="1:11" x14ac:dyDescent="0.35">
      <c r="A1912" s="204">
        <v>37755</v>
      </c>
      <c r="B1912" s="544">
        <v>5</v>
      </c>
      <c r="C1912">
        <v>5.35</v>
      </c>
      <c r="D1912">
        <v>6</v>
      </c>
      <c r="E1912">
        <v>6.5</v>
      </c>
      <c r="F1912">
        <v>1.88</v>
      </c>
      <c r="G1912">
        <v>2.88</v>
      </c>
      <c r="H1912">
        <v>3.48</v>
      </c>
      <c r="I1912">
        <v>3.35</v>
      </c>
      <c r="J1912">
        <v>1</v>
      </c>
      <c r="K1912">
        <v>0.05</v>
      </c>
    </row>
    <row r="1913" spans="1:11" x14ac:dyDescent="0.35">
      <c r="A1913" s="204">
        <v>37762</v>
      </c>
      <c r="B1913" s="544">
        <v>5</v>
      </c>
      <c r="C1913">
        <v>5.35</v>
      </c>
      <c r="D1913">
        <v>5.9</v>
      </c>
      <c r="E1913">
        <v>6.3</v>
      </c>
      <c r="F1913">
        <v>1.88</v>
      </c>
      <c r="G1913">
        <v>2.88</v>
      </c>
      <c r="H1913">
        <v>3.48</v>
      </c>
      <c r="I1913">
        <v>3.35</v>
      </c>
      <c r="J1913">
        <v>1</v>
      </c>
      <c r="K1913">
        <v>0.05</v>
      </c>
    </row>
    <row r="1914" spans="1:11" x14ac:dyDescent="0.35">
      <c r="A1914" s="204">
        <v>37769</v>
      </c>
      <c r="B1914" s="544">
        <v>5</v>
      </c>
      <c r="C1914">
        <v>5.05</v>
      </c>
      <c r="D1914">
        <v>5.6</v>
      </c>
      <c r="E1914">
        <v>6.15</v>
      </c>
      <c r="F1914">
        <v>1.88</v>
      </c>
      <c r="G1914">
        <v>2.68</v>
      </c>
      <c r="H1914">
        <v>3.23</v>
      </c>
      <c r="I1914">
        <v>3.1</v>
      </c>
      <c r="J1914">
        <v>1</v>
      </c>
      <c r="K1914">
        <v>0.05</v>
      </c>
    </row>
    <row r="1915" spans="1:11" x14ac:dyDescent="0.35">
      <c r="A1915" s="204">
        <v>37776</v>
      </c>
      <c r="B1915" s="544">
        <v>5</v>
      </c>
      <c r="C1915">
        <v>4.95</v>
      </c>
      <c r="D1915">
        <v>5.6</v>
      </c>
      <c r="E1915">
        <v>6</v>
      </c>
      <c r="F1915">
        <v>1.88</v>
      </c>
      <c r="G1915">
        <v>2.68</v>
      </c>
      <c r="H1915">
        <v>3.23</v>
      </c>
      <c r="I1915">
        <v>3.1</v>
      </c>
      <c r="J1915">
        <v>1</v>
      </c>
      <c r="K1915">
        <v>0.05</v>
      </c>
    </row>
    <row r="1916" spans="1:11" x14ac:dyDescent="0.35">
      <c r="A1916" s="204">
        <v>37783</v>
      </c>
      <c r="B1916" s="544">
        <v>5</v>
      </c>
      <c r="C1916">
        <v>4.95</v>
      </c>
      <c r="D1916">
        <v>5.3</v>
      </c>
      <c r="E1916">
        <v>5.9</v>
      </c>
      <c r="F1916">
        <v>1.88</v>
      </c>
      <c r="G1916">
        <v>2.4300000000000002</v>
      </c>
      <c r="H1916">
        <v>2.93</v>
      </c>
      <c r="I1916">
        <v>2.8</v>
      </c>
      <c r="J1916">
        <v>1</v>
      </c>
      <c r="K1916">
        <v>0.05</v>
      </c>
    </row>
    <row r="1917" spans="1:11" x14ac:dyDescent="0.35">
      <c r="A1917" s="204">
        <v>37790</v>
      </c>
      <c r="B1917" s="544">
        <v>5</v>
      </c>
      <c r="C1917">
        <v>4.8499999999999996</v>
      </c>
      <c r="D1917">
        <v>5.2</v>
      </c>
      <c r="E1917">
        <v>5.8</v>
      </c>
      <c r="F1917">
        <v>1.88</v>
      </c>
      <c r="G1917">
        <v>2.4300000000000002</v>
      </c>
      <c r="H1917">
        <v>2.93</v>
      </c>
      <c r="I1917">
        <v>2.8</v>
      </c>
      <c r="J1917">
        <v>1</v>
      </c>
      <c r="K1917">
        <v>0.05</v>
      </c>
    </row>
    <row r="1918" spans="1:11" x14ac:dyDescent="0.35">
      <c r="A1918" s="204">
        <v>37797</v>
      </c>
      <c r="B1918" s="544">
        <v>5</v>
      </c>
      <c r="C1918">
        <v>4.8499999999999996</v>
      </c>
      <c r="D1918">
        <v>5.2</v>
      </c>
      <c r="E1918">
        <v>5.8</v>
      </c>
      <c r="F1918">
        <v>1.88</v>
      </c>
      <c r="G1918">
        <v>2.23</v>
      </c>
      <c r="H1918">
        <v>2.8</v>
      </c>
      <c r="I1918">
        <v>2.5499999999999998</v>
      </c>
      <c r="J1918">
        <v>1</v>
      </c>
      <c r="K1918">
        <v>0.05</v>
      </c>
    </row>
    <row r="1919" spans="1:11" x14ac:dyDescent="0.35">
      <c r="A1919" s="204">
        <v>37804</v>
      </c>
      <c r="B1919" s="544">
        <v>5</v>
      </c>
      <c r="C1919">
        <v>4.6500000000000004</v>
      </c>
      <c r="D1919">
        <v>5.6</v>
      </c>
      <c r="E1919">
        <v>6.1</v>
      </c>
      <c r="F1919">
        <v>1.78</v>
      </c>
      <c r="G1919">
        <v>2.23</v>
      </c>
      <c r="H1919">
        <v>2.68</v>
      </c>
      <c r="I1919">
        <v>2.5499999999999998</v>
      </c>
      <c r="J1919">
        <v>1</v>
      </c>
      <c r="K1919">
        <v>0.05</v>
      </c>
    </row>
    <row r="1920" spans="1:11" x14ac:dyDescent="0.35">
      <c r="A1920" s="204">
        <v>37811</v>
      </c>
      <c r="B1920" s="544">
        <v>5</v>
      </c>
      <c r="C1920">
        <v>4.6500000000000004</v>
      </c>
      <c r="D1920">
        <v>5.6</v>
      </c>
      <c r="E1920">
        <v>6.05</v>
      </c>
      <c r="F1920">
        <v>1.78</v>
      </c>
      <c r="G1920">
        <v>2.23</v>
      </c>
      <c r="H1920">
        <v>2.68</v>
      </c>
      <c r="I1920">
        <v>2.5499999999999998</v>
      </c>
      <c r="J1920">
        <v>1</v>
      </c>
      <c r="K1920">
        <v>0.05</v>
      </c>
    </row>
    <row r="1921" spans="1:11" x14ac:dyDescent="0.35">
      <c r="A1921" s="204">
        <v>37818</v>
      </c>
      <c r="B1921" s="544">
        <v>4.75</v>
      </c>
      <c r="C1921">
        <v>4.75</v>
      </c>
      <c r="D1921">
        <v>5.85</v>
      </c>
      <c r="E1921">
        <v>6.2</v>
      </c>
      <c r="F1921">
        <v>1.78</v>
      </c>
      <c r="G1921">
        <v>2.23</v>
      </c>
      <c r="H1921">
        <v>2.68</v>
      </c>
      <c r="I1921">
        <v>2.5499999999999998</v>
      </c>
      <c r="J1921">
        <v>1</v>
      </c>
      <c r="K1921">
        <v>0.05</v>
      </c>
    </row>
    <row r="1922" spans="1:11" x14ac:dyDescent="0.35">
      <c r="A1922" s="204">
        <v>37825</v>
      </c>
      <c r="B1922" s="544">
        <v>4.75</v>
      </c>
      <c r="C1922">
        <v>4.55</v>
      </c>
      <c r="D1922">
        <v>5.85</v>
      </c>
      <c r="E1922">
        <v>6.2</v>
      </c>
      <c r="F1922">
        <v>1.78</v>
      </c>
      <c r="G1922">
        <v>2.23</v>
      </c>
      <c r="H1922">
        <v>2.68</v>
      </c>
      <c r="I1922">
        <v>2.5499999999999998</v>
      </c>
      <c r="J1922">
        <v>1</v>
      </c>
      <c r="K1922">
        <v>0.05</v>
      </c>
    </row>
    <row r="1923" spans="1:11" x14ac:dyDescent="0.35">
      <c r="A1923" s="204">
        <v>37832</v>
      </c>
      <c r="B1923" s="544">
        <v>4.75</v>
      </c>
      <c r="C1923">
        <v>4.55</v>
      </c>
      <c r="D1923">
        <v>5.45</v>
      </c>
      <c r="E1923">
        <v>6.2</v>
      </c>
      <c r="F1923">
        <v>1.63</v>
      </c>
      <c r="G1923">
        <v>2.23</v>
      </c>
      <c r="H1923">
        <v>2.93</v>
      </c>
      <c r="I1923">
        <v>2.8</v>
      </c>
      <c r="J1923">
        <v>1</v>
      </c>
      <c r="K1923">
        <v>0.05</v>
      </c>
    </row>
    <row r="1924" spans="1:11" x14ac:dyDescent="0.35">
      <c r="A1924" s="204">
        <v>37839</v>
      </c>
      <c r="B1924" s="544">
        <v>4.75</v>
      </c>
      <c r="C1924">
        <v>4.55</v>
      </c>
      <c r="D1924">
        <v>5.65</v>
      </c>
      <c r="E1924">
        <v>6.35</v>
      </c>
      <c r="F1924">
        <v>1.63</v>
      </c>
      <c r="G1924">
        <v>2.23</v>
      </c>
      <c r="H1924">
        <v>2.93</v>
      </c>
      <c r="I1924">
        <v>2.8</v>
      </c>
      <c r="J1924">
        <v>1</v>
      </c>
      <c r="K1924">
        <v>0.05</v>
      </c>
    </row>
    <row r="1925" spans="1:11" x14ac:dyDescent="0.35">
      <c r="A1925" s="204">
        <v>37846</v>
      </c>
      <c r="B1925" s="544">
        <v>4.75</v>
      </c>
      <c r="C1925">
        <v>4.55</v>
      </c>
      <c r="D1925">
        <v>5.65</v>
      </c>
      <c r="E1925">
        <v>6.35</v>
      </c>
      <c r="F1925">
        <v>1.63</v>
      </c>
      <c r="G1925">
        <v>2.23</v>
      </c>
      <c r="H1925">
        <v>2.93</v>
      </c>
      <c r="I1925">
        <v>2.8</v>
      </c>
      <c r="J1925">
        <v>1</v>
      </c>
      <c r="K1925">
        <v>0.05</v>
      </c>
    </row>
    <row r="1926" spans="1:11" x14ac:dyDescent="0.35">
      <c r="A1926" s="204">
        <v>37853</v>
      </c>
      <c r="B1926" s="544">
        <v>4.75</v>
      </c>
      <c r="C1926">
        <v>4.55</v>
      </c>
      <c r="D1926">
        <v>5.65</v>
      </c>
      <c r="E1926">
        <v>6.55</v>
      </c>
      <c r="F1926">
        <v>1.63</v>
      </c>
      <c r="G1926">
        <v>2.23</v>
      </c>
      <c r="H1926">
        <v>2.93</v>
      </c>
      <c r="I1926">
        <v>2.8</v>
      </c>
      <c r="J1926">
        <v>1</v>
      </c>
      <c r="K1926">
        <v>0.05</v>
      </c>
    </row>
    <row r="1927" spans="1:11" x14ac:dyDescent="0.35">
      <c r="A1927" s="204">
        <v>37860</v>
      </c>
      <c r="B1927" s="544">
        <v>4.75</v>
      </c>
      <c r="C1927">
        <v>4.55</v>
      </c>
      <c r="D1927">
        <v>5.7</v>
      </c>
      <c r="E1927">
        <v>6.35</v>
      </c>
      <c r="F1927">
        <v>1.63</v>
      </c>
      <c r="G1927">
        <v>2.23</v>
      </c>
      <c r="H1927">
        <v>2.93</v>
      </c>
      <c r="I1927">
        <v>2.8</v>
      </c>
      <c r="J1927">
        <v>0.75</v>
      </c>
      <c r="K1927">
        <v>0.05</v>
      </c>
    </row>
    <row r="1928" spans="1:11" x14ac:dyDescent="0.35">
      <c r="A1928" s="204">
        <v>37867</v>
      </c>
      <c r="B1928" s="544">
        <v>4.75</v>
      </c>
      <c r="C1928">
        <v>4.55</v>
      </c>
      <c r="D1928">
        <v>5.9</v>
      </c>
      <c r="E1928">
        <v>6.35</v>
      </c>
      <c r="F1928">
        <v>1.63</v>
      </c>
      <c r="G1928">
        <v>2.23</v>
      </c>
      <c r="H1928">
        <v>2.93</v>
      </c>
      <c r="I1928">
        <v>2.8</v>
      </c>
      <c r="J1928">
        <v>0.75</v>
      </c>
      <c r="K1928">
        <v>0.05</v>
      </c>
    </row>
    <row r="1929" spans="1:11" x14ac:dyDescent="0.35">
      <c r="A1929" s="204">
        <v>37874</v>
      </c>
      <c r="B1929" s="544">
        <v>4.5</v>
      </c>
      <c r="C1929">
        <v>4.55</v>
      </c>
      <c r="D1929">
        <v>5.9</v>
      </c>
      <c r="E1929">
        <v>6.5</v>
      </c>
      <c r="F1929">
        <v>1.63</v>
      </c>
      <c r="G1929">
        <v>2.23</v>
      </c>
      <c r="H1929">
        <v>2.93</v>
      </c>
      <c r="I1929">
        <v>2.8</v>
      </c>
      <c r="J1929">
        <v>0.75</v>
      </c>
      <c r="K1929">
        <v>0.05</v>
      </c>
    </row>
    <row r="1930" spans="1:11" x14ac:dyDescent="0.35">
      <c r="A1930" s="204">
        <v>37881</v>
      </c>
      <c r="B1930" s="544">
        <v>4.5</v>
      </c>
      <c r="C1930">
        <v>4.55</v>
      </c>
      <c r="D1930">
        <v>5.8</v>
      </c>
      <c r="E1930">
        <v>6.4</v>
      </c>
      <c r="F1930">
        <v>1.63</v>
      </c>
      <c r="G1930">
        <v>2.23</v>
      </c>
      <c r="H1930">
        <v>2.93</v>
      </c>
      <c r="I1930">
        <v>2.8</v>
      </c>
      <c r="J1930">
        <v>0.75</v>
      </c>
      <c r="K1930">
        <v>0.05</v>
      </c>
    </row>
    <row r="1931" spans="1:11" x14ac:dyDescent="0.35">
      <c r="A1931" s="204">
        <v>37888</v>
      </c>
      <c r="B1931" s="544">
        <v>4.5</v>
      </c>
      <c r="C1931">
        <v>4.55</v>
      </c>
      <c r="D1931">
        <v>5.8</v>
      </c>
      <c r="E1931">
        <v>6.3</v>
      </c>
      <c r="F1931">
        <v>1.63</v>
      </c>
      <c r="G1931">
        <v>2.23</v>
      </c>
      <c r="H1931">
        <v>2.93</v>
      </c>
      <c r="I1931">
        <v>2.8</v>
      </c>
      <c r="J1931">
        <v>0.75</v>
      </c>
      <c r="K1931">
        <v>0.05</v>
      </c>
    </row>
    <row r="1932" spans="1:11" x14ac:dyDescent="0.35">
      <c r="A1932" s="204">
        <v>37895</v>
      </c>
      <c r="B1932" s="544">
        <v>4.5</v>
      </c>
      <c r="C1932">
        <v>4.55</v>
      </c>
      <c r="D1932">
        <v>5.6</v>
      </c>
      <c r="E1932">
        <v>6.15</v>
      </c>
      <c r="F1932">
        <v>1.55</v>
      </c>
      <c r="G1932">
        <v>2.23</v>
      </c>
      <c r="H1932">
        <v>2.93</v>
      </c>
      <c r="I1932">
        <v>2.8</v>
      </c>
      <c r="J1932">
        <v>0.75</v>
      </c>
      <c r="K1932">
        <v>0.05</v>
      </c>
    </row>
    <row r="1933" spans="1:11" x14ac:dyDescent="0.35">
      <c r="A1933" s="204">
        <v>37902</v>
      </c>
      <c r="B1933" s="544">
        <v>4.5</v>
      </c>
      <c r="C1933">
        <v>4.55</v>
      </c>
      <c r="D1933">
        <v>5.6</v>
      </c>
      <c r="E1933">
        <v>6.15</v>
      </c>
      <c r="F1933">
        <v>1.43</v>
      </c>
      <c r="G1933">
        <v>2.23</v>
      </c>
      <c r="H1933">
        <v>2.93</v>
      </c>
      <c r="I1933">
        <v>2.75</v>
      </c>
      <c r="J1933">
        <v>0.75</v>
      </c>
      <c r="K1933">
        <v>0.05</v>
      </c>
    </row>
    <row r="1934" spans="1:11" x14ac:dyDescent="0.35">
      <c r="A1934" s="204">
        <v>37909</v>
      </c>
      <c r="B1934" s="544">
        <v>4.5</v>
      </c>
      <c r="C1934">
        <v>4.55</v>
      </c>
      <c r="D1934">
        <v>5.8</v>
      </c>
      <c r="E1934">
        <v>6.15</v>
      </c>
      <c r="F1934">
        <v>1.43</v>
      </c>
      <c r="G1934">
        <v>2.23</v>
      </c>
      <c r="H1934">
        <v>2.93</v>
      </c>
      <c r="I1934">
        <v>2.75</v>
      </c>
      <c r="J1934">
        <v>0.75</v>
      </c>
      <c r="K1934">
        <v>0.05</v>
      </c>
    </row>
    <row r="1935" spans="1:11" x14ac:dyDescent="0.35">
      <c r="A1935" s="204">
        <v>37916</v>
      </c>
      <c r="B1935" s="544">
        <v>4.5</v>
      </c>
      <c r="C1935">
        <v>4.55</v>
      </c>
      <c r="D1935">
        <v>5.8</v>
      </c>
      <c r="E1935">
        <v>6.4</v>
      </c>
      <c r="F1935">
        <v>1.43</v>
      </c>
      <c r="G1935">
        <v>2.23</v>
      </c>
      <c r="H1935">
        <v>2.93</v>
      </c>
      <c r="I1935">
        <v>2.75</v>
      </c>
      <c r="J1935">
        <v>0.75</v>
      </c>
      <c r="K1935">
        <v>0.05</v>
      </c>
    </row>
    <row r="1936" spans="1:11" x14ac:dyDescent="0.35">
      <c r="A1936" s="204">
        <v>37923</v>
      </c>
      <c r="B1936" s="544">
        <v>4.5</v>
      </c>
      <c r="C1936">
        <v>4.55</v>
      </c>
      <c r="D1936">
        <v>5.8</v>
      </c>
      <c r="E1936">
        <v>6.4</v>
      </c>
      <c r="F1936">
        <v>1.43</v>
      </c>
      <c r="G1936">
        <v>2.23</v>
      </c>
      <c r="H1936">
        <v>2.93</v>
      </c>
      <c r="I1936">
        <v>2.8</v>
      </c>
      <c r="J1936">
        <v>0.75</v>
      </c>
      <c r="K1936">
        <v>0.05</v>
      </c>
    </row>
    <row r="1937" spans="1:11" x14ac:dyDescent="0.35">
      <c r="A1937" s="204">
        <v>37930</v>
      </c>
      <c r="B1937" s="544">
        <v>4.5</v>
      </c>
      <c r="C1937">
        <v>4.55</v>
      </c>
      <c r="D1937">
        <v>5.8</v>
      </c>
      <c r="E1937">
        <v>6.4</v>
      </c>
      <c r="F1937">
        <v>1.43</v>
      </c>
      <c r="G1937">
        <v>2.23</v>
      </c>
      <c r="H1937">
        <v>2.93</v>
      </c>
      <c r="I1937">
        <v>2.8</v>
      </c>
      <c r="J1937">
        <v>0.75</v>
      </c>
      <c r="K1937">
        <v>0.05</v>
      </c>
    </row>
    <row r="1938" spans="1:11" x14ac:dyDescent="0.35">
      <c r="A1938" s="204">
        <v>37937</v>
      </c>
      <c r="B1938" s="544">
        <v>4.5</v>
      </c>
      <c r="C1938">
        <v>4.75</v>
      </c>
      <c r="D1938">
        <v>5.9</v>
      </c>
      <c r="E1938">
        <v>6.65</v>
      </c>
      <c r="F1938">
        <v>1.43</v>
      </c>
      <c r="G1938">
        <v>2.23</v>
      </c>
      <c r="H1938">
        <v>2.93</v>
      </c>
      <c r="I1938">
        <v>2.8</v>
      </c>
      <c r="J1938">
        <v>0.75</v>
      </c>
      <c r="K1938">
        <v>0.05</v>
      </c>
    </row>
    <row r="1939" spans="1:11" x14ac:dyDescent="0.35">
      <c r="A1939" s="204">
        <v>37944</v>
      </c>
      <c r="B1939" s="544">
        <v>4.5</v>
      </c>
      <c r="C1939">
        <v>4.75</v>
      </c>
      <c r="D1939">
        <v>5.9</v>
      </c>
      <c r="E1939">
        <v>6.5</v>
      </c>
      <c r="F1939">
        <v>1.43</v>
      </c>
      <c r="G1939">
        <v>2.23</v>
      </c>
      <c r="H1939">
        <v>2.93</v>
      </c>
      <c r="I1939">
        <v>2.8</v>
      </c>
      <c r="J1939">
        <v>0.75</v>
      </c>
      <c r="K1939">
        <v>0.05</v>
      </c>
    </row>
    <row r="1940" spans="1:11" x14ac:dyDescent="0.35">
      <c r="A1940" s="204">
        <v>37951</v>
      </c>
      <c r="B1940" s="544">
        <v>4.5</v>
      </c>
      <c r="C1940">
        <v>4.75</v>
      </c>
      <c r="D1940">
        <v>5.9</v>
      </c>
      <c r="E1940">
        <v>6.5</v>
      </c>
      <c r="F1940">
        <v>1.43</v>
      </c>
      <c r="G1940">
        <v>2.23</v>
      </c>
      <c r="H1940">
        <v>2.93</v>
      </c>
      <c r="I1940">
        <v>2.8</v>
      </c>
      <c r="J1940">
        <v>0.75</v>
      </c>
      <c r="K1940">
        <v>0.05</v>
      </c>
    </row>
    <row r="1941" spans="1:11" x14ac:dyDescent="0.35">
      <c r="A1941" s="204">
        <v>37958</v>
      </c>
      <c r="B1941" s="544">
        <v>4.5</v>
      </c>
      <c r="C1941">
        <v>4.75</v>
      </c>
      <c r="D1941">
        <v>5.9</v>
      </c>
      <c r="E1941">
        <v>6.5</v>
      </c>
      <c r="F1941">
        <v>1.43</v>
      </c>
      <c r="G1941">
        <v>2.23</v>
      </c>
      <c r="H1941">
        <v>2.93</v>
      </c>
      <c r="I1941">
        <v>2.8</v>
      </c>
      <c r="J1941">
        <v>0.75</v>
      </c>
      <c r="K1941">
        <v>0.05</v>
      </c>
    </row>
    <row r="1942" spans="1:11" x14ac:dyDescent="0.35">
      <c r="A1942" s="204">
        <v>37965</v>
      </c>
      <c r="B1942" s="544">
        <v>4.5</v>
      </c>
      <c r="C1942">
        <v>4.75</v>
      </c>
      <c r="D1942">
        <v>5.9</v>
      </c>
      <c r="E1942">
        <v>6.5</v>
      </c>
      <c r="F1942">
        <v>1.43</v>
      </c>
      <c r="G1942">
        <v>2.23</v>
      </c>
      <c r="H1942">
        <v>2.93</v>
      </c>
      <c r="I1942">
        <v>2.8</v>
      </c>
      <c r="J1942">
        <v>0.75</v>
      </c>
      <c r="K1942">
        <v>0.05</v>
      </c>
    </row>
    <row r="1943" spans="1:11" x14ac:dyDescent="0.35">
      <c r="A1943" s="204">
        <v>37972</v>
      </c>
      <c r="B1943" s="544">
        <v>4.5</v>
      </c>
      <c r="C1943">
        <v>4.75</v>
      </c>
      <c r="D1943">
        <v>5.9</v>
      </c>
      <c r="E1943">
        <v>6.45</v>
      </c>
      <c r="F1943">
        <v>1.43</v>
      </c>
      <c r="G1943">
        <v>2.23</v>
      </c>
      <c r="H1943">
        <v>2.93</v>
      </c>
      <c r="I1943">
        <v>2.8</v>
      </c>
      <c r="J1943">
        <v>0.75</v>
      </c>
      <c r="K1943">
        <v>0.05</v>
      </c>
    </row>
    <row r="1944" spans="1:11" x14ac:dyDescent="0.35">
      <c r="A1944" s="204">
        <v>37979</v>
      </c>
      <c r="B1944" s="544">
        <v>4.5</v>
      </c>
      <c r="C1944">
        <v>4.75</v>
      </c>
      <c r="D1944">
        <v>5.9</v>
      </c>
      <c r="E1944">
        <v>6.45</v>
      </c>
      <c r="F1944">
        <v>1.43</v>
      </c>
      <c r="G1944">
        <v>2.23</v>
      </c>
      <c r="H1944">
        <v>2.93</v>
      </c>
      <c r="I1944">
        <v>2.8</v>
      </c>
      <c r="J1944">
        <v>0.75</v>
      </c>
      <c r="K1944">
        <v>0.05</v>
      </c>
    </row>
    <row r="1945" spans="1:11" x14ac:dyDescent="0.35">
      <c r="A1945" s="204">
        <v>37986</v>
      </c>
      <c r="B1945" s="544">
        <v>4.5</v>
      </c>
      <c r="C1945">
        <v>4.75</v>
      </c>
      <c r="D1945">
        <v>5.9</v>
      </c>
      <c r="E1945">
        <v>6.45</v>
      </c>
      <c r="F1945">
        <v>1.43</v>
      </c>
      <c r="G1945">
        <v>2.23</v>
      </c>
      <c r="H1945">
        <v>2.93</v>
      </c>
      <c r="I1945">
        <v>2.8</v>
      </c>
      <c r="J1945">
        <v>0.75</v>
      </c>
      <c r="K1945">
        <v>0.05</v>
      </c>
    </row>
    <row r="1946" spans="1:11" x14ac:dyDescent="0.35">
      <c r="A1946" s="204">
        <v>37993</v>
      </c>
      <c r="B1946" s="544">
        <v>4.5</v>
      </c>
      <c r="C1946">
        <v>4.75</v>
      </c>
      <c r="D1946">
        <v>5.8</v>
      </c>
      <c r="E1946">
        <v>6.35</v>
      </c>
      <c r="F1946">
        <v>1.43</v>
      </c>
      <c r="G1946">
        <v>2.23</v>
      </c>
      <c r="H1946">
        <v>2.93</v>
      </c>
      <c r="I1946">
        <v>2.8</v>
      </c>
      <c r="J1946">
        <v>0.75</v>
      </c>
      <c r="K1946">
        <v>0.05</v>
      </c>
    </row>
    <row r="1947" spans="1:11" x14ac:dyDescent="0.35">
      <c r="A1947" s="204">
        <v>38000</v>
      </c>
      <c r="B1947" s="544">
        <v>4.5</v>
      </c>
      <c r="C1947">
        <v>4.75</v>
      </c>
      <c r="D1947">
        <v>5.8</v>
      </c>
      <c r="E1947">
        <v>6.35</v>
      </c>
      <c r="F1947">
        <v>1.43</v>
      </c>
      <c r="G1947">
        <v>2.23</v>
      </c>
      <c r="H1947">
        <v>2.93</v>
      </c>
      <c r="I1947">
        <v>2.8</v>
      </c>
      <c r="J1947">
        <v>0.75</v>
      </c>
      <c r="K1947">
        <v>0.05</v>
      </c>
    </row>
    <row r="1948" spans="1:11" x14ac:dyDescent="0.35">
      <c r="A1948" s="204">
        <v>38007</v>
      </c>
      <c r="B1948" s="544">
        <v>4.25</v>
      </c>
      <c r="C1948">
        <v>4.5</v>
      </c>
      <c r="D1948">
        <v>5.5</v>
      </c>
      <c r="E1948">
        <v>6.15</v>
      </c>
      <c r="F1948">
        <v>1.43</v>
      </c>
      <c r="G1948">
        <v>2.23</v>
      </c>
      <c r="H1948">
        <v>2.93</v>
      </c>
      <c r="I1948">
        <v>2.8</v>
      </c>
      <c r="J1948">
        <v>0.75</v>
      </c>
      <c r="K1948">
        <v>0.05</v>
      </c>
    </row>
    <row r="1949" spans="1:11" x14ac:dyDescent="0.35">
      <c r="A1949" s="204">
        <v>38014</v>
      </c>
      <c r="B1949" s="544">
        <v>4.25</v>
      </c>
      <c r="C1949">
        <v>4.3</v>
      </c>
      <c r="D1949">
        <v>5.4</v>
      </c>
      <c r="E1949">
        <v>6.05</v>
      </c>
      <c r="F1949">
        <v>1.18</v>
      </c>
      <c r="G1949">
        <v>1.98</v>
      </c>
      <c r="H1949">
        <v>2.63</v>
      </c>
      <c r="I1949">
        <v>2.5</v>
      </c>
      <c r="J1949">
        <v>0.75</v>
      </c>
      <c r="K1949">
        <v>0.05</v>
      </c>
    </row>
    <row r="1950" spans="1:11" x14ac:dyDescent="0.35">
      <c r="A1950" s="204">
        <v>38021</v>
      </c>
      <c r="B1950" s="544">
        <v>4.25</v>
      </c>
      <c r="C1950">
        <v>4.3</v>
      </c>
      <c r="D1950">
        <v>5.35</v>
      </c>
      <c r="E1950">
        <v>6.05</v>
      </c>
      <c r="F1950">
        <v>1.18</v>
      </c>
      <c r="G1950">
        <v>1.98</v>
      </c>
      <c r="H1950">
        <v>2.63</v>
      </c>
      <c r="I1950">
        <v>2.5</v>
      </c>
      <c r="J1950">
        <v>0.75</v>
      </c>
      <c r="K1950">
        <v>0.05</v>
      </c>
    </row>
    <row r="1951" spans="1:11" x14ac:dyDescent="0.35">
      <c r="A1951" s="204">
        <v>38028</v>
      </c>
      <c r="B1951" s="544">
        <v>4.25</v>
      </c>
      <c r="C1951">
        <v>4.3</v>
      </c>
      <c r="D1951">
        <v>5.35</v>
      </c>
      <c r="E1951">
        <v>6</v>
      </c>
      <c r="F1951">
        <v>1.18</v>
      </c>
      <c r="G1951">
        <v>1.98</v>
      </c>
      <c r="H1951">
        <v>2.63</v>
      </c>
      <c r="I1951">
        <v>2.5</v>
      </c>
      <c r="J1951">
        <v>0.75</v>
      </c>
      <c r="K1951">
        <v>0.05</v>
      </c>
    </row>
    <row r="1952" spans="1:11" x14ac:dyDescent="0.35">
      <c r="A1952" s="204">
        <v>38035</v>
      </c>
      <c r="B1952" s="544">
        <v>4.25</v>
      </c>
      <c r="C1952">
        <v>4.3</v>
      </c>
      <c r="D1952">
        <v>5.2</v>
      </c>
      <c r="E1952">
        <v>5.8</v>
      </c>
      <c r="F1952">
        <v>1.18</v>
      </c>
      <c r="G1952">
        <v>1.98</v>
      </c>
      <c r="H1952">
        <v>2.63</v>
      </c>
      <c r="I1952">
        <v>2.5</v>
      </c>
      <c r="J1952">
        <v>0.75</v>
      </c>
      <c r="K1952">
        <v>0.05</v>
      </c>
    </row>
    <row r="1953" spans="1:11" x14ac:dyDescent="0.35">
      <c r="A1953" s="204">
        <v>38042</v>
      </c>
      <c r="B1953" s="544">
        <v>4.25</v>
      </c>
      <c r="C1953">
        <v>4.3</v>
      </c>
      <c r="D1953">
        <v>5.2</v>
      </c>
      <c r="E1953">
        <v>5.8</v>
      </c>
      <c r="F1953">
        <v>1.18</v>
      </c>
      <c r="G1953">
        <v>1.98</v>
      </c>
      <c r="H1953">
        <v>2.63</v>
      </c>
      <c r="I1953">
        <v>2.5</v>
      </c>
      <c r="J1953">
        <v>0.75</v>
      </c>
      <c r="K1953">
        <v>0.05</v>
      </c>
    </row>
    <row r="1954" spans="1:11" x14ac:dyDescent="0.35">
      <c r="A1954" s="204">
        <v>38049</v>
      </c>
      <c r="B1954" s="544">
        <v>4</v>
      </c>
      <c r="C1954">
        <v>4.3</v>
      </c>
      <c r="D1954">
        <v>5.2</v>
      </c>
      <c r="E1954">
        <v>5.8</v>
      </c>
      <c r="F1954">
        <v>1.03</v>
      </c>
      <c r="G1954">
        <v>1.73</v>
      </c>
      <c r="H1954">
        <v>2.38</v>
      </c>
      <c r="I1954">
        <v>2.25</v>
      </c>
      <c r="J1954">
        <v>0.75</v>
      </c>
      <c r="K1954">
        <v>0.05</v>
      </c>
    </row>
    <row r="1955" spans="1:11" x14ac:dyDescent="0.35">
      <c r="A1955" s="204">
        <v>38056</v>
      </c>
      <c r="B1955" s="544">
        <v>4</v>
      </c>
      <c r="C1955">
        <v>4.3</v>
      </c>
      <c r="D1955">
        <v>5.2</v>
      </c>
      <c r="E1955">
        <v>5.8</v>
      </c>
      <c r="F1955">
        <v>0.93</v>
      </c>
      <c r="G1955">
        <v>1.73</v>
      </c>
      <c r="H1955">
        <v>2.38</v>
      </c>
      <c r="I1955">
        <v>2.25</v>
      </c>
      <c r="J1955">
        <v>0.75</v>
      </c>
      <c r="K1955">
        <v>0.05</v>
      </c>
    </row>
    <row r="1956" spans="1:11" x14ac:dyDescent="0.35">
      <c r="A1956" s="204">
        <v>38063</v>
      </c>
      <c r="B1956" s="544">
        <v>4</v>
      </c>
      <c r="C1956">
        <v>4.3</v>
      </c>
      <c r="D1956">
        <v>5.2</v>
      </c>
      <c r="E1956">
        <v>5.7</v>
      </c>
      <c r="F1956">
        <v>0.93</v>
      </c>
      <c r="G1956">
        <v>1.73</v>
      </c>
      <c r="H1956">
        <v>2.38</v>
      </c>
      <c r="I1956">
        <v>2.25</v>
      </c>
      <c r="J1956">
        <v>0.75</v>
      </c>
      <c r="K1956">
        <v>0.05</v>
      </c>
    </row>
    <row r="1957" spans="1:11" x14ac:dyDescent="0.35">
      <c r="A1957" s="204">
        <v>38070</v>
      </c>
      <c r="B1957" s="544">
        <v>4</v>
      </c>
      <c r="C1957">
        <v>4.3</v>
      </c>
      <c r="D1957">
        <v>5.0999999999999996</v>
      </c>
      <c r="E1957">
        <v>5.7</v>
      </c>
      <c r="F1957">
        <v>0.93</v>
      </c>
      <c r="G1957">
        <v>1.73</v>
      </c>
      <c r="H1957">
        <v>2.38</v>
      </c>
      <c r="I1957">
        <v>2.25</v>
      </c>
      <c r="J1957">
        <v>0.75</v>
      </c>
      <c r="K1957">
        <v>0.05</v>
      </c>
    </row>
    <row r="1958" spans="1:11" x14ac:dyDescent="0.35">
      <c r="A1958" s="204">
        <v>38077</v>
      </c>
      <c r="B1958" s="544">
        <v>4</v>
      </c>
      <c r="C1958">
        <v>4.3</v>
      </c>
      <c r="D1958">
        <v>5.0999999999999996</v>
      </c>
      <c r="E1958">
        <v>5.7</v>
      </c>
      <c r="F1958">
        <v>0.93</v>
      </c>
      <c r="G1958">
        <v>1.73</v>
      </c>
      <c r="H1958">
        <v>2.38</v>
      </c>
      <c r="I1958">
        <v>2.25</v>
      </c>
      <c r="J1958">
        <v>0.75</v>
      </c>
      <c r="K1958">
        <v>0.05</v>
      </c>
    </row>
    <row r="1959" spans="1:11" x14ac:dyDescent="0.35">
      <c r="A1959" s="204">
        <v>38084</v>
      </c>
      <c r="B1959" s="544">
        <v>4</v>
      </c>
      <c r="C1959">
        <v>4.45</v>
      </c>
      <c r="D1959">
        <v>5.3</v>
      </c>
      <c r="E1959">
        <v>5.95</v>
      </c>
      <c r="F1959">
        <v>0.93</v>
      </c>
      <c r="G1959">
        <v>1.93</v>
      </c>
      <c r="H1959">
        <v>2.68</v>
      </c>
      <c r="I1959">
        <v>2.5499999999999998</v>
      </c>
      <c r="J1959">
        <v>0.75</v>
      </c>
      <c r="K1959">
        <v>0.05</v>
      </c>
    </row>
    <row r="1960" spans="1:11" x14ac:dyDescent="0.35">
      <c r="A1960" s="204">
        <v>38091</v>
      </c>
      <c r="B1960" s="544">
        <v>3.75</v>
      </c>
      <c r="C1960">
        <v>4.45</v>
      </c>
      <c r="D1960">
        <v>5.3</v>
      </c>
      <c r="E1960">
        <v>5.95</v>
      </c>
      <c r="F1960">
        <v>0.93</v>
      </c>
      <c r="G1960">
        <v>1.93</v>
      </c>
      <c r="H1960">
        <v>2.68</v>
      </c>
      <c r="I1960">
        <v>2.5499999999999998</v>
      </c>
      <c r="J1960">
        <v>0.75</v>
      </c>
      <c r="K1960">
        <v>0.05</v>
      </c>
    </row>
    <row r="1961" spans="1:11" x14ac:dyDescent="0.35">
      <c r="A1961" s="204">
        <v>38098</v>
      </c>
      <c r="B1961" s="544">
        <v>3.75</v>
      </c>
      <c r="C1961">
        <v>4.45</v>
      </c>
      <c r="D1961">
        <v>5.5</v>
      </c>
      <c r="E1961">
        <v>6.15</v>
      </c>
      <c r="F1961">
        <v>0.93</v>
      </c>
      <c r="G1961">
        <v>1.93</v>
      </c>
      <c r="H1961">
        <v>2.68</v>
      </c>
      <c r="I1961">
        <v>2.5499999999999998</v>
      </c>
      <c r="J1961">
        <v>0.75</v>
      </c>
      <c r="K1961">
        <v>0.05</v>
      </c>
    </row>
    <row r="1962" spans="1:11" x14ac:dyDescent="0.35">
      <c r="A1962" s="204">
        <v>38105</v>
      </c>
      <c r="B1962" s="544">
        <v>3.75</v>
      </c>
      <c r="C1962">
        <v>4.45</v>
      </c>
      <c r="D1962">
        <v>5.55</v>
      </c>
      <c r="E1962">
        <v>6.15</v>
      </c>
      <c r="F1962">
        <v>0.93</v>
      </c>
      <c r="G1962">
        <v>2.13</v>
      </c>
      <c r="H1962">
        <v>2.88</v>
      </c>
      <c r="I1962">
        <v>2.75</v>
      </c>
      <c r="J1962">
        <v>0.75</v>
      </c>
      <c r="K1962">
        <v>0.05</v>
      </c>
    </row>
    <row r="1963" spans="1:11" x14ac:dyDescent="0.35">
      <c r="A1963" s="204">
        <v>38112</v>
      </c>
      <c r="B1963" s="544">
        <v>3.75</v>
      </c>
      <c r="C1963">
        <v>4.45</v>
      </c>
      <c r="D1963">
        <v>5.55</v>
      </c>
      <c r="E1963">
        <v>6.15</v>
      </c>
      <c r="F1963">
        <v>0.93</v>
      </c>
      <c r="G1963">
        <v>2.13</v>
      </c>
      <c r="H1963">
        <v>2.88</v>
      </c>
      <c r="I1963">
        <v>2.75</v>
      </c>
      <c r="J1963">
        <v>0.75</v>
      </c>
      <c r="K1963">
        <v>0.05</v>
      </c>
    </row>
    <row r="1964" spans="1:11" x14ac:dyDescent="0.35">
      <c r="A1964" s="204">
        <v>38119</v>
      </c>
      <c r="B1964" s="544">
        <v>3.75</v>
      </c>
      <c r="C1964">
        <v>4.55</v>
      </c>
      <c r="D1964">
        <v>5.75</v>
      </c>
      <c r="E1964">
        <v>6.4</v>
      </c>
      <c r="F1964">
        <v>0.93</v>
      </c>
      <c r="G1964">
        <v>2.13</v>
      </c>
      <c r="H1964">
        <v>2.88</v>
      </c>
      <c r="I1964">
        <v>2.75</v>
      </c>
      <c r="J1964">
        <v>0.75</v>
      </c>
      <c r="K1964">
        <v>0.05</v>
      </c>
    </row>
    <row r="1965" spans="1:11" x14ac:dyDescent="0.35">
      <c r="A1965" s="204">
        <v>38126</v>
      </c>
      <c r="B1965" s="544">
        <v>3.75</v>
      </c>
      <c r="C1965">
        <v>4.55</v>
      </c>
      <c r="D1965">
        <v>5.75</v>
      </c>
      <c r="E1965">
        <v>6.4</v>
      </c>
      <c r="F1965">
        <v>1.08</v>
      </c>
      <c r="G1965">
        <v>2.23</v>
      </c>
      <c r="H1965">
        <v>3.08</v>
      </c>
      <c r="I1965">
        <v>2.95</v>
      </c>
      <c r="J1965">
        <v>0.75</v>
      </c>
      <c r="K1965">
        <v>0.05</v>
      </c>
    </row>
    <row r="1966" spans="1:11" x14ac:dyDescent="0.35">
      <c r="A1966" s="204">
        <v>38133</v>
      </c>
      <c r="B1966" s="544">
        <v>3.75</v>
      </c>
      <c r="C1966">
        <v>4.55</v>
      </c>
      <c r="D1966">
        <v>5.8</v>
      </c>
      <c r="E1966">
        <v>6.55</v>
      </c>
      <c r="F1966">
        <v>1.08</v>
      </c>
      <c r="G1966">
        <v>2.2799999999999998</v>
      </c>
      <c r="H1966">
        <v>3.13</v>
      </c>
      <c r="I1966">
        <v>3</v>
      </c>
      <c r="J1966">
        <v>0.75</v>
      </c>
      <c r="K1966">
        <v>0.05</v>
      </c>
    </row>
    <row r="1967" spans="1:11" x14ac:dyDescent="0.35">
      <c r="A1967" s="204">
        <v>38140</v>
      </c>
      <c r="B1967" s="544">
        <v>3.75</v>
      </c>
      <c r="C1967">
        <v>4.55</v>
      </c>
      <c r="D1967">
        <v>5.8</v>
      </c>
      <c r="E1967">
        <v>6.5</v>
      </c>
      <c r="F1967">
        <v>1.08</v>
      </c>
      <c r="G1967">
        <v>2.2799999999999998</v>
      </c>
      <c r="H1967">
        <v>3.13</v>
      </c>
      <c r="I1967">
        <v>3</v>
      </c>
      <c r="J1967">
        <v>0.75</v>
      </c>
      <c r="K1967">
        <v>0.05</v>
      </c>
    </row>
    <row r="1968" spans="1:11" x14ac:dyDescent="0.35">
      <c r="A1968" s="204">
        <v>38147</v>
      </c>
      <c r="B1968" s="544">
        <v>3.75</v>
      </c>
      <c r="C1968">
        <v>4.45</v>
      </c>
      <c r="D1968">
        <v>6.1</v>
      </c>
      <c r="E1968">
        <v>6.5</v>
      </c>
      <c r="F1968">
        <v>1.1299999999999999</v>
      </c>
      <c r="G1968">
        <v>2.4300000000000002</v>
      </c>
      <c r="H1968">
        <v>3.28</v>
      </c>
      <c r="I1968">
        <v>3.03</v>
      </c>
      <c r="J1968">
        <v>0.75</v>
      </c>
      <c r="K1968">
        <v>0.05</v>
      </c>
    </row>
    <row r="1969" spans="1:11" x14ac:dyDescent="0.35">
      <c r="A1969" s="204">
        <v>38154</v>
      </c>
      <c r="B1969" s="544">
        <v>3.75</v>
      </c>
      <c r="C1969">
        <v>4.7</v>
      </c>
      <c r="D1969">
        <v>6.1</v>
      </c>
      <c r="E1969">
        <v>6.7</v>
      </c>
      <c r="F1969">
        <v>1.28</v>
      </c>
      <c r="G1969">
        <v>2.4300000000000002</v>
      </c>
      <c r="H1969">
        <v>3.28</v>
      </c>
      <c r="I1969">
        <v>3.03</v>
      </c>
      <c r="J1969">
        <v>0.75</v>
      </c>
      <c r="K1969">
        <v>0.05</v>
      </c>
    </row>
    <row r="1970" spans="1:11" x14ac:dyDescent="0.35">
      <c r="A1970" s="204">
        <v>38161</v>
      </c>
      <c r="B1970" s="544">
        <v>3.75</v>
      </c>
      <c r="C1970">
        <v>4.7</v>
      </c>
      <c r="D1970">
        <v>6.1</v>
      </c>
      <c r="E1970">
        <v>6.7</v>
      </c>
      <c r="F1970">
        <v>1.28</v>
      </c>
      <c r="G1970">
        <v>2.63</v>
      </c>
      <c r="H1970">
        <v>3.38</v>
      </c>
      <c r="I1970">
        <v>3.13</v>
      </c>
      <c r="J1970">
        <v>0.75</v>
      </c>
      <c r="K1970">
        <v>0.05</v>
      </c>
    </row>
    <row r="1971" spans="1:11" x14ac:dyDescent="0.35">
      <c r="A1971" s="204">
        <v>38168</v>
      </c>
      <c r="B1971" s="544">
        <v>3.75</v>
      </c>
      <c r="C1971">
        <v>4.7</v>
      </c>
      <c r="D1971">
        <v>6.1</v>
      </c>
      <c r="E1971">
        <v>6.7</v>
      </c>
      <c r="F1971">
        <v>1.28</v>
      </c>
      <c r="G1971">
        <v>2.63</v>
      </c>
      <c r="H1971">
        <v>3.38</v>
      </c>
      <c r="I1971">
        <v>3.13</v>
      </c>
      <c r="J1971">
        <v>0.75</v>
      </c>
      <c r="K1971">
        <v>0.05</v>
      </c>
    </row>
    <row r="1972" spans="1:11" x14ac:dyDescent="0.35">
      <c r="A1972" s="204">
        <v>38175</v>
      </c>
      <c r="B1972" s="544">
        <v>3.75</v>
      </c>
      <c r="C1972">
        <v>4.7</v>
      </c>
      <c r="D1972">
        <v>5.95</v>
      </c>
      <c r="E1972">
        <v>6.7</v>
      </c>
      <c r="F1972">
        <v>1.28</v>
      </c>
      <c r="G1972">
        <v>2.63</v>
      </c>
      <c r="H1972">
        <v>3.38</v>
      </c>
      <c r="I1972">
        <v>3.13</v>
      </c>
      <c r="J1972">
        <v>0.75</v>
      </c>
      <c r="K1972">
        <v>0.05</v>
      </c>
    </row>
    <row r="1973" spans="1:11" x14ac:dyDescent="0.35">
      <c r="A1973" s="204">
        <v>38182</v>
      </c>
      <c r="B1973" s="544">
        <v>3.75</v>
      </c>
      <c r="C1973">
        <v>4.5999999999999996</v>
      </c>
      <c r="D1973">
        <v>5.9</v>
      </c>
      <c r="E1973">
        <v>6.55</v>
      </c>
      <c r="F1973">
        <v>1.18</v>
      </c>
      <c r="G1973">
        <v>2.5299999999999998</v>
      </c>
      <c r="H1973">
        <v>3.28</v>
      </c>
      <c r="I1973">
        <v>3.03</v>
      </c>
      <c r="J1973">
        <v>0.75</v>
      </c>
      <c r="K1973">
        <v>0.05</v>
      </c>
    </row>
    <row r="1974" spans="1:11" x14ac:dyDescent="0.35">
      <c r="A1974" s="204">
        <v>38189</v>
      </c>
      <c r="B1974" s="544">
        <v>3.75</v>
      </c>
      <c r="C1974">
        <v>4.5999999999999996</v>
      </c>
      <c r="D1974">
        <v>5.9</v>
      </c>
      <c r="E1974">
        <v>6.55</v>
      </c>
      <c r="F1974">
        <v>1.18</v>
      </c>
      <c r="G1974">
        <v>2.5299999999999998</v>
      </c>
      <c r="H1974">
        <v>3.28</v>
      </c>
      <c r="I1974">
        <v>3.03</v>
      </c>
      <c r="J1974">
        <v>0.75</v>
      </c>
      <c r="K1974">
        <v>0.05</v>
      </c>
    </row>
    <row r="1975" spans="1:11" x14ac:dyDescent="0.35">
      <c r="A1975" s="204">
        <v>38196</v>
      </c>
      <c r="B1975" s="544">
        <v>3.75</v>
      </c>
      <c r="C1975">
        <v>4.5999999999999996</v>
      </c>
      <c r="D1975">
        <v>5.9</v>
      </c>
      <c r="E1975">
        <v>6.55</v>
      </c>
      <c r="F1975">
        <v>1.18</v>
      </c>
      <c r="G1975">
        <v>2.5299999999999998</v>
      </c>
      <c r="H1975">
        <v>3.28</v>
      </c>
      <c r="I1975">
        <v>3.03</v>
      </c>
      <c r="J1975">
        <v>0.75</v>
      </c>
      <c r="K1975">
        <v>0.05</v>
      </c>
    </row>
    <row r="1976" spans="1:11" x14ac:dyDescent="0.35">
      <c r="A1976" s="204">
        <v>38203</v>
      </c>
      <c r="B1976" s="544">
        <v>3.75</v>
      </c>
      <c r="C1976">
        <v>4.5999999999999996</v>
      </c>
      <c r="D1976">
        <v>5.9</v>
      </c>
      <c r="E1976">
        <v>6.55</v>
      </c>
      <c r="F1976">
        <v>1.18</v>
      </c>
      <c r="G1976">
        <v>2.5299999999999998</v>
      </c>
      <c r="H1976">
        <v>3.28</v>
      </c>
      <c r="I1976">
        <v>3.03</v>
      </c>
      <c r="J1976">
        <v>0.75</v>
      </c>
      <c r="K1976">
        <v>0.05</v>
      </c>
    </row>
    <row r="1977" spans="1:11" x14ac:dyDescent="0.35">
      <c r="A1977" s="204">
        <v>38210</v>
      </c>
      <c r="B1977" s="544">
        <v>3.75</v>
      </c>
      <c r="C1977">
        <v>4.4000000000000004</v>
      </c>
      <c r="D1977">
        <v>5.7</v>
      </c>
      <c r="E1977">
        <v>6.3</v>
      </c>
      <c r="F1977">
        <v>0.98</v>
      </c>
      <c r="G1977">
        <v>2.2799999999999998</v>
      </c>
      <c r="H1977">
        <v>3.03</v>
      </c>
      <c r="I1977">
        <v>2.78</v>
      </c>
      <c r="J1977">
        <v>0.75</v>
      </c>
      <c r="K1977">
        <v>0.05</v>
      </c>
    </row>
    <row r="1978" spans="1:11" x14ac:dyDescent="0.35">
      <c r="A1978" s="204">
        <v>38217</v>
      </c>
      <c r="B1978" s="544">
        <v>3.75</v>
      </c>
      <c r="C1978">
        <v>4.4000000000000004</v>
      </c>
      <c r="D1978">
        <v>5.7</v>
      </c>
      <c r="E1978">
        <v>6.3</v>
      </c>
      <c r="F1978">
        <v>0.98</v>
      </c>
      <c r="G1978">
        <v>2.2799999999999998</v>
      </c>
      <c r="H1978">
        <v>3.03</v>
      </c>
      <c r="I1978">
        <v>2.78</v>
      </c>
      <c r="J1978">
        <v>0.75</v>
      </c>
      <c r="K1978">
        <v>0.05</v>
      </c>
    </row>
    <row r="1979" spans="1:11" x14ac:dyDescent="0.35">
      <c r="A1979" s="204">
        <v>38224</v>
      </c>
      <c r="B1979" s="544">
        <v>3.75</v>
      </c>
      <c r="C1979">
        <v>4.4000000000000004</v>
      </c>
      <c r="D1979">
        <v>5.7</v>
      </c>
      <c r="E1979">
        <v>6.3</v>
      </c>
      <c r="F1979">
        <v>0.98</v>
      </c>
      <c r="G1979">
        <v>2.2799999999999998</v>
      </c>
      <c r="H1979">
        <v>3.03</v>
      </c>
      <c r="I1979">
        <v>2.78</v>
      </c>
      <c r="J1979">
        <v>0.75</v>
      </c>
      <c r="K1979">
        <v>0.05</v>
      </c>
    </row>
    <row r="1980" spans="1:11" x14ac:dyDescent="0.35">
      <c r="A1980" s="204">
        <v>38231</v>
      </c>
      <c r="B1980" s="544">
        <v>3.75</v>
      </c>
      <c r="C1980">
        <v>4.5999999999999996</v>
      </c>
      <c r="D1980">
        <v>5.8</v>
      </c>
      <c r="E1980">
        <v>6.4</v>
      </c>
      <c r="F1980">
        <v>0.98</v>
      </c>
      <c r="G1980">
        <v>2.2799999999999998</v>
      </c>
      <c r="H1980">
        <v>3.03</v>
      </c>
      <c r="I1980">
        <v>2.78</v>
      </c>
      <c r="J1980">
        <v>0.75</v>
      </c>
      <c r="K1980">
        <v>0.05</v>
      </c>
    </row>
    <row r="1981" spans="1:11" x14ac:dyDescent="0.35">
      <c r="A1981" s="204">
        <v>38238</v>
      </c>
      <c r="B1981" s="544">
        <v>3.75</v>
      </c>
      <c r="C1981">
        <v>4.5999999999999996</v>
      </c>
      <c r="D1981">
        <v>5.8</v>
      </c>
      <c r="E1981">
        <v>6.4</v>
      </c>
      <c r="F1981">
        <v>0.98</v>
      </c>
      <c r="G1981">
        <v>2.2799999999999998</v>
      </c>
      <c r="H1981">
        <v>3.03</v>
      </c>
      <c r="I1981">
        <v>2.78</v>
      </c>
      <c r="J1981">
        <v>0.75</v>
      </c>
      <c r="K1981">
        <v>0.05</v>
      </c>
    </row>
    <row r="1982" spans="1:11" x14ac:dyDescent="0.35">
      <c r="A1982" s="204">
        <v>38245</v>
      </c>
      <c r="B1982" s="544">
        <v>4</v>
      </c>
      <c r="C1982">
        <v>4.8</v>
      </c>
      <c r="D1982">
        <v>5.9</v>
      </c>
      <c r="E1982">
        <v>6.45</v>
      </c>
      <c r="F1982">
        <v>1.23</v>
      </c>
      <c r="G1982">
        <v>2.4300000000000002</v>
      </c>
      <c r="H1982">
        <v>3.13</v>
      </c>
      <c r="I1982">
        <v>2.88</v>
      </c>
      <c r="J1982">
        <v>0.75</v>
      </c>
      <c r="K1982">
        <v>0.05</v>
      </c>
    </row>
    <row r="1983" spans="1:11" x14ac:dyDescent="0.35">
      <c r="A1983" s="204">
        <v>38252</v>
      </c>
      <c r="B1983" s="544">
        <v>4</v>
      </c>
      <c r="C1983">
        <v>4.8</v>
      </c>
      <c r="D1983">
        <v>5.8</v>
      </c>
      <c r="E1983">
        <v>6.4</v>
      </c>
      <c r="F1983">
        <v>1.23</v>
      </c>
      <c r="G1983">
        <v>2.4300000000000002</v>
      </c>
      <c r="H1983">
        <v>3.13</v>
      </c>
      <c r="I1983">
        <v>2.75</v>
      </c>
      <c r="J1983">
        <v>0.75</v>
      </c>
      <c r="K1983">
        <v>0.05</v>
      </c>
    </row>
    <row r="1984" spans="1:11" x14ac:dyDescent="0.35">
      <c r="A1984" s="204">
        <v>38259</v>
      </c>
      <c r="B1984" s="544">
        <v>4</v>
      </c>
      <c r="C1984">
        <v>4.8</v>
      </c>
      <c r="D1984">
        <v>5.8</v>
      </c>
      <c r="E1984">
        <v>6.3</v>
      </c>
      <c r="F1984">
        <v>1.23</v>
      </c>
      <c r="G1984">
        <v>2.23</v>
      </c>
      <c r="H1984">
        <v>2.88</v>
      </c>
      <c r="I1984">
        <v>2.63</v>
      </c>
      <c r="J1984">
        <v>0.75</v>
      </c>
      <c r="K1984">
        <v>0.05</v>
      </c>
    </row>
    <row r="1985" spans="1:11" x14ac:dyDescent="0.35">
      <c r="A1985" s="204">
        <v>38266</v>
      </c>
      <c r="B1985" s="544">
        <v>4</v>
      </c>
      <c r="C1985">
        <v>4.8</v>
      </c>
      <c r="D1985">
        <v>5.8</v>
      </c>
      <c r="E1985">
        <v>6.3</v>
      </c>
      <c r="F1985">
        <v>1.23</v>
      </c>
      <c r="G1985">
        <v>2.23</v>
      </c>
      <c r="H1985">
        <v>2.88</v>
      </c>
      <c r="I1985">
        <v>2.75</v>
      </c>
      <c r="J1985">
        <v>0.75</v>
      </c>
      <c r="K1985">
        <v>0.05</v>
      </c>
    </row>
    <row r="1986" spans="1:11" x14ac:dyDescent="0.35">
      <c r="A1986" s="204">
        <v>38273</v>
      </c>
      <c r="B1986" s="544">
        <v>4</v>
      </c>
      <c r="C1986">
        <v>4.9000000000000004</v>
      </c>
      <c r="D1986">
        <v>5.85</v>
      </c>
      <c r="E1986">
        <v>6.5</v>
      </c>
      <c r="F1986">
        <v>1.38</v>
      </c>
      <c r="G1986">
        <v>2.4300000000000002</v>
      </c>
      <c r="H1986">
        <v>3.03</v>
      </c>
      <c r="I1986">
        <v>2.78</v>
      </c>
      <c r="J1986">
        <v>0.75</v>
      </c>
      <c r="K1986">
        <v>0.05</v>
      </c>
    </row>
    <row r="1987" spans="1:11" x14ac:dyDescent="0.35">
      <c r="A1987" s="204">
        <v>38280</v>
      </c>
      <c r="B1987" s="544">
        <v>4.25</v>
      </c>
      <c r="C1987">
        <v>4.9000000000000004</v>
      </c>
      <c r="D1987">
        <v>5.85</v>
      </c>
      <c r="E1987">
        <v>6.4</v>
      </c>
      <c r="F1987">
        <v>1.38</v>
      </c>
      <c r="G1987">
        <v>2.4300000000000002</v>
      </c>
      <c r="H1987">
        <v>3.03</v>
      </c>
      <c r="I1987">
        <v>2.78</v>
      </c>
      <c r="J1987">
        <v>0.75</v>
      </c>
      <c r="K1987">
        <v>0.05</v>
      </c>
    </row>
    <row r="1988" spans="1:11" x14ac:dyDescent="0.35">
      <c r="A1988" s="204">
        <v>38287</v>
      </c>
      <c r="B1988" s="544">
        <v>4.25</v>
      </c>
      <c r="C1988">
        <v>4.9000000000000004</v>
      </c>
      <c r="D1988">
        <v>5.85</v>
      </c>
      <c r="E1988">
        <v>6.4</v>
      </c>
      <c r="F1988">
        <v>1.38</v>
      </c>
      <c r="G1988">
        <v>2.4300000000000002</v>
      </c>
      <c r="H1988">
        <v>3.03</v>
      </c>
      <c r="I1988">
        <v>2.78</v>
      </c>
      <c r="J1988">
        <v>0.75</v>
      </c>
      <c r="K1988">
        <v>0.05</v>
      </c>
    </row>
    <row r="1989" spans="1:11" x14ac:dyDescent="0.35">
      <c r="A1989" s="204">
        <v>38294</v>
      </c>
      <c r="B1989" s="544">
        <v>4.25</v>
      </c>
      <c r="C1989">
        <v>4.9000000000000004</v>
      </c>
      <c r="D1989">
        <v>5.8</v>
      </c>
      <c r="E1989">
        <v>6.3</v>
      </c>
      <c r="F1989">
        <v>1.38</v>
      </c>
      <c r="G1989">
        <v>2.4300000000000002</v>
      </c>
      <c r="H1989">
        <v>3.03</v>
      </c>
      <c r="I1989">
        <v>2.78</v>
      </c>
      <c r="J1989">
        <v>0.75</v>
      </c>
      <c r="K1989">
        <v>0.05</v>
      </c>
    </row>
    <row r="1990" spans="1:11" x14ac:dyDescent="0.35">
      <c r="A1990" s="204">
        <v>38301</v>
      </c>
      <c r="B1990" s="544">
        <v>4.25</v>
      </c>
      <c r="C1990">
        <v>4.9000000000000004</v>
      </c>
      <c r="D1990">
        <v>5.8</v>
      </c>
      <c r="E1990">
        <v>6.3</v>
      </c>
      <c r="F1990">
        <v>1.53</v>
      </c>
      <c r="G1990">
        <v>2.4300000000000002</v>
      </c>
      <c r="H1990">
        <v>3.03</v>
      </c>
      <c r="I1990">
        <v>2.78</v>
      </c>
      <c r="J1990">
        <v>0.75</v>
      </c>
      <c r="K1990">
        <v>0.05</v>
      </c>
    </row>
    <row r="1991" spans="1:11" x14ac:dyDescent="0.35">
      <c r="A1991" s="204">
        <v>38308</v>
      </c>
      <c r="B1991" s="544">
        <v>4.25</v>
      </c>
      <c r="C1991">
        <v>5</v>
      </c>
      <c r="D1991">
        <v>5.8</v>
      </c>
      <c r="E1991">
        <v>6.3</v>
      </c>
      <c r="F1991">
        <v>1.53</v>
      </c>
      <c r="G1991">
        <v>2.4300000000000002</v>
      </c>
      <c r="H1991">
        <v>3.03</v>
      </c>
      <c r="I1991">
        <v>2.78</v>
      </c>
      <c r="J1991">
        <v>0.75</v>
      </c>
      <c r="K1991">
        <v>0.05</v>
      </c>
    </row>
    <row r="1992" spans="1:11" x14ac:dyDescent="0.35">
      <c r="A1992" s="204">
        <v>38315</v>
      </c>
      <c r="B1992" s="544">
        <v>4.25</v>
      </c>
      <c r="C1992">
        <v>5</v>
      </c>
      <c r="D1992">
        <v>5.8</v>
      </c>
      <c r="E1992">
        <v>6.3</v>
      </c>
      <c r="F1992">
        <v>1.53</v>
      </c>
      <c r="G1992">
        <v>2.4300000000000002</v>
      </c>
      <c r="H1992">
        <v>3.03</v>
      </c>
      <c r="I1992">
        <v>2.78</v>
      </c>
      <c r="J1992">
        <v>0.75</v>
      </c>
      <c r="K1992">
        <v>0.05</v>
      </c>
    </row>
    <row r="1993" spans="1:11" x14ac:dyDescent="0.35">
      <c r="A1993" s="204">
        <v>38322</v>
      </c>
      <c r="B1993" s="544">
        <v>4.25</v>
      </c>
      <c r="C1993">
        <v>5</v>
      </c>
      <c r="D1993">
        <v>5.8</v>
      </c>
      <c r="E1993">
        <v>6.3</v>
      </c>
      <c r="F1993">
        <v>1.53</v>
      </c>
      <c r="G1993">
        <v>2.4300000000000002</v>
      </c>
      <c r="H1993">
        <v>3.03</v>
      </c>
      <c r="I1993">
        <v>2.78</v>
      </c>
      <c r="J1993">
        <v>0.75</v>
      </c>
      <c r="K1993">
        <v>0.05</v>
      </c>
    </row>
    <row r="1994" spans="1:11" x14ac:dyDescent="0.35">
      <c r="A1994" s="204">
        <v>38329</v>
      </c>
      <c r="B1994" s="544">
        <v>4.25</v>
      </c>
      <c r="C1994">
        <v>4.9000000000000004</v>
      </c>
      <c r="D1994">
        <v>5.7</v>
      </c>
      <c r="E1994">
        <v>6.15</v>
      </c>
      <c r="F1994">
        <v>1.38</v>
      </c>
      <c r="G1994">
        <v>2.1800000000000002</v>
      </c>
      <c r="H1994">
        <v>2.78</v>
      </c>
      <c r="I1994">
        <v>2.65</v>
      </c>
      <c r="J1994">
        <v>0.75</v>
      </c>
      <c r="K1994">
        <v>0.05</v>
      </c>
    </row>
    <row r="1995" spans="1:11" x14ac:dyDescent="0.35">
      <c r="A1995" s="204">
        <v>38336</v>
      </c>
      <c r="B1995" s="544">
        <v>4.25</v>
      </c>
      <c r="C1995">
        <v>4.8</v>
      </c>
      <c r="D1995">
        <v>5.6</v>
      </c>
      <c r="E1995">
        <v>6.05</v>
      </c>
      <c r="F1995">
        <v>1.43</v>
      </c>
      <c r="G1995">
        <v>2.1800000000000002</v>
      </c>
      <c r="H1995">
        <v>2.78</v>
      </c>
      <c r="I1995">
        <v>2.5299999999999998</v>
      </c>
      <c r="J1995">
        <v>0.75</v>
      </c>
      <c r="K1995">
        <v>0.05</v>
      </c>
    </row>
    <row r="1996" spans="1:11" x14ac:dyDescent="0.35">
      <c r="A1996" s="204">
        <v>38343</v>
      </c>
      <c r="B1996" s="544">
        <v>4.25</v>
      </c>
      <c r="C1996">
        <v>4.8</v>
      </c>
      <c r="D1996">
        <v>5.6</v>
      </c>
      <c r="E1996">
        <v>6.05</v>
      </c>
      <c r="F1996">
        <v>1.43</v>
      </c>
      <c r="G1996">
        <v>2.1800000000000002</v>
      </c>
      <c r="H1996">
        <v>2.78</v>
      </c>
      <c r="I1996">
        <v>2.5299999999999998</v>
      </c>
      <c r="J1996">
        <v>0.75</v>
      </c>
      <c r="K1996">
        <v>0.05</v>
      </c>
    </row>
    <row r="1997" spans="1:11" x14ac:dyDescent="0.35">
      <c r="A1997" s="204">
        <v>38350</v>
      </c>
      <c r="B1997" s="544">
        <v>4.25</v>
      </c>
      <c r="C1997">
        <v>4.8</v>
      </c>
      <c r="D1997">
        <v>5.6</v>
      </c>
      <c r="E1997">
        <v>6.05</v>
      </c>
      <c r="F1997">
        <v>1.43</v>
      </c>
      <c r="G1997">
        <v>2.1800000000000002</v>
      </c>
      <c r="H1997">
        <v>2.78</v>
      </c>
      <c r="I1997">
        <v>2.5299999999999998</v>
      </c>
      <c r="J1997">
        <v>0.75</v>
      </c>
      <c r="K1997">
        <v>0.05</v>
      </c>
    </row>
    <row r="1998" spans="1:11" x14ac:dyDescent="0.35">
      <c r="A1998" s="204">
        <v>38357</v>
      </c>
      <c r="B1998" s="544">
        <v>4.25</v>
      </c>
      <c r="C1998">
        <v>4.8</v>
      </c>
      <c r="D1998">
        <v>5.6</v>
      </c>
      <c r="E1998">
        <v>6.05</v>
      </c>
      <c r="F1998">
        <v>1.43</v>
      </c>
      <c r="G1998">
        <v>2.1800000000000002</v>
      </c>
      <c r="H1998">
        <v>2.78</v>
      </c>
      <c r="I1998">
        <v>2.5299999999999998</v>
      </c>
      <c r="J1998">
        <v>0.75</v>
      </c>
      <c r="K1998">
        <v>0.05</v>
      </c>
    </row>
    <row r="1999" spans="1:11" x14ac:dyDescent="0.35">
      <c r="A1999" s="204">
        <v>38364</v>
      </c>
      <c r="B1999" s="544">
        <v>4.25</v>
      </c>
      <c r="C1999">
        <v>4.8</v>
      </c>
      <c r="D1999">
        <v>5.6</v>
      </c>
      <c r="E1999">
        <v>6.05</v>
      </c>
      <c r="F1999">
        <v>1.43</v>
      </c>
      <c r="G1999">
        <v>2.1800000000000002</v>
      </c>
      <c r="H1999">
        <v>2.98</v>
      </c>
      <c r="I1999">
        <v>2.5299999999999998</v>
      </c>
      <c r="J1999">
        <v>0.75</v>
      </c>
      <c r="K1999">
        <v>0.05</v>
      </c>
    </row>
    <row r="2000" spans="1:11" x14ac:dyDescent="0.35">
      <c r="A2000" s="204">
        <v>38371</v>
      </c>
      <c r="B2000" s="544">
        <v>4.25</v>
      </c>
      <c r="C2000">
        <v>4.8</v>
      </c>
      <c r="D2000">
        <v>5.6</v>
      </c>
      <c r="E2000">
        <v>6.05</v>
      </c>
      <c r="F2000">
        <v>1.43</v>
      </c>
      <c r="G2000">
        <v>2.1800000000000002</v>
      </c>
      <c r="H2000">
        <v>2.98</v>
      </c>
      <c r="I2000">
        <v>2.73</v>
      </c>
      <c r="J2000">
        <v>0.75</v>
      </c>
      <c r="K2000">
        <v>0.05</v>
      </c>
    </row>
    <row r="2001" spans="1:11" x14ac:dyDescent="0.35">
      <c r="A2001" s="204">
        <v>38378</v>
      </c>
      <c r="B2001" s="544">
        <v>4.25</v>
      </c>
      <c r="C2001">
        <v>4.8</v>
      </c>
      <c r="D2001">
        <v>5.6</v>
      </c>
      <c r="E2001">
        <v>6.05</v>
      </c>
      <c r="F2001">
        <v>1.43</v>
      </c>
      <c r="G2001">
        <v>2.1800000000000002</v>
      </c>
      <c r="H2001">
        <v>2.88</v>
      </c>
      <c r="I2001">
        <v>2.63</v>
      </c>
      <c r="J2001">
        <v>0.75</v>
      </c>
      <c r="K2001">
        <v>0.05</v>
      </c>
    </row>
    <row r="2002" spans="1:11" x14ac:dyDescent="0.35">
      <c r="A2002" s="204">
        <v>38385</v>
      </c>
      <c r="B2002" s="544">
        <v>4.25</v>
      </c>
      <c r="C2002">
        <v>4.8</v>
      </c>
      <c r="D2002">
        <v>5.6</v>
      </c>
      <c r="E2002">
        <v>6.05</v>
      </c>
      <c r="F2002">
        <v>1.43</v>
      </c>
      <c r="G2002">
        <v>2.1800000000000002</v>
      </c>
      <c r="H2002">
        <v>2.88</v>
      </c>
      <c r="I2002">
        <v>2.63</v>
      </c>
      <c r="J2002">
        <v>0.75</v>
      </c>
      <c r="K2002">
        <v>0.05</v>
      </c>
    </row>
    <row r="2003" spans="1:11" x14ac:dyDescent="0.35">
      <c r="A2003" s="204">
        <v>38392</v>
      </c>
      <c r="B2003" s="544">
        <v>4.25</v>
      </c>
      <c r="C2003">
        <v>4.8</v>
      </c>
      <c r="D2003">
        <v>5.6</v>
      </c>
      <c r="E2003">
        <v>6.05</v>
      </c>
      <c r="F2003">
        <v>1.43</v>
      </c>
      <c r="G2003">
        <v>2.1800000000000002</v>
      </c>
      <c r="H2003">
        <v>2.88</v>
      </c>
      <c r="I2003">
        <v>2.63</v>
      </c>
      <c r="J2003">
        <v>0.75</v>
      </c>
      <c r="K2003">
        <v>0.05</v>
      </c>
    </row>
    <row r="2004" spans="1:11" x14ac:dyDescent="0.35">
      <c r="A2004" s="204">
        <v>38399</v>
      </c>
      <c r="B2004" s="544">
        <v>4.25</v>
      </c>
      <c r="C2004">
        <v>4.8</v>
      </c>
      <c r="D2004">
        <v>5.6</v>
      </c>
      <c r="E2004">
        <v>6.05</v>
      </c>
      <c r="F2004">
        <v>1.43</v>
      </c>
      <c r="G2004">
        <v>2.1800000000000002</v>
      </c>
      <c r="H2004">
        <v>2.88</v>
      </c>
      <c r="I2004">
        <v>2.63</v>
      </c>
      <c r="J2004">
        <v>0.75</v>
      </c>
      <c r="K2004">
        <v>0.05</v>
      </c>
    </row>
    <row r="2005" spans="1:11" x14ac:dyDescent="0.35">
      <c r="A2005" s="204">
        <v>38406</v>
      </c>
      <c r="B2005" s="544">
        <v>4.25</v>
      </c>
      <c r="C2005">
        <v>4.8</v>
      </c>
      <c r="D2005">
        <v>5.6</v>
      </c>
      <c r="E2005">
        <v>6.05</v>
      </c>
      <c r="F2005">
        <v>1.43</v>
      </c>
      <c r="G2005">
        <v>2.1800000000000002</v>
      </c>
      <c r="H2005">
        <v>2.88</v>
      </c>
      <c r="I2005">
        <v>2.63</v>
      </c>
      <c r="J2005">
        <v>0.75</v>
      </c>
      <c r="K2005">
        <v>0.05</v>
      </c>
    </row>
    <row r="2006" spans="1:11" x14ac:dyDescent="0.35">
      <c r="A2006" s="204">
        <v>38413</v>
      </c>
      <c r="B2006" s="544">
        <v>4.25</v>
      </c>
      <c r="C2006">
        <v>4.8</v>
      </c>
      <c r="D2006">
        <v>5.6</v>
      </c>
      <c r="E2006">
        <v>6.05</v>
      </c>
      <c r="F2006">
        <v>1.43</v>
      </c>
      <c r="G2006">
        <v>2.1800000000000002</v>
      </c>
      <c r="H2006">
        <v>2.88</v>
      </c>
      <c r="I2006">
        <v>2.63</v>
      </c>
      <c r="J2006">
        <v>0.75</v>
      </c>
      <c r="K2006">
        <v>0.05</v>
      </c>
    </row>
    <row r="2007" spans="1:11" x14ac:dyDescent="0.35">
      <c r="A2007" s="204">
        <v>38420</v>
      </c>
      <c r="B2007" s="544">
        <v>4.25</v>
      </c>
      <c r="C2007">
        <v>4.8</v>
      </c>
      <c r="D2007">
        <v>5.6</v>
      </c>
      <c r="E2007">
        <v>6.05</v>
      </c>
      <c r="F2007">
        <v>1.43</v>
      </c>
      <c r="G2007">
        <v>2.1800000000000002</v>
      </c>
      <c r="H2007">
        <v>2.88</v>
      </c>
      <c r="I2007">
        <v>2.63</v>
      </c>
      <c r="J2007">
        <v>0.75</v>
      </c>
      <c r="K2007">
        <v>0.05</v>
      </c>
    </row>
    <row r="2008" spans="1:11" x14ac:dyDescent="0.35">
      <c r="A2008" s="204">
        <v>38427</v>
      </c>
      <c r="B2008" s="544">
        <v>4.25</v>
      </c>
      <c r="C2008">
        <v>4.8</v>
      </c>
      <c r="D2008">
        <v>5.6</v>
      </c>
      <c r="E2008">
        <v>6.05</v>
      </c>
      <c r="F2008">
        <v>1.43</v>
      </c>
      <c r="G2008">
        <v>2.1800000000000002</v>
      </c>
      <c r="H2008">
        <v>2.88</v>
      </c>
      <c r="I2008">
        <v>2.63</v>
      </c>
      <c r="J2008">
        <v>0.75</v>
      </c>
      <c r="K2008">
        <v>0.05</v>
      </c>
    </row>
    <row r="2009" spans="1:11" x14ac:dyDescent="0.35">
      <c r="A2009" s="204">
        <v>38434</v>
      </c>
      <c r="B2009" s="544">
        <v>4.25</v>
      </c>
      <c r="C2009">
        <v>4.8</v>
      </c>
      <c r="D2009">
        <v>5.6</v>
      </c>
      <c r="E2009">
        <v>6.05</v>
      </c>
      <c r="F2009">
        <v>1.43</v>
      </c>
      <c r="G2009">
        <v>2.1800000000000002</v>
      </c>
      <c r="H2009">
        <v>2.88</v>
      </c>
      <c r="I2009">
        <v>2.63</v>
      </c>
      <c r="J2009">
        <v>0.75</v>
      </c>
      <c r="K2009">
        <v>0.05</v>
      </c>
    </row>
    <row r="2010" spans="1:11" x14ac:dyDescent="0.35">
      <c r="A2010" s="204">
        <v>38441</v>
      </c>
      <c r="B2010" s="544">
        <v>4.25</v>
      </c>
      <c r="C2010">
        <v>5.05</v>
      </c>
      <c r="D2010">
        <v>5.85</v>
      </c>
      <c r="E2010">
        <v>6.25</v>
      </c>
      <c r="F2010">
        <v>1.63</v>
      </c>
      <c r="G2010">
        <v>2.38</v>
      </c>
      <c r="H2010">
        <v>2.98</v>
      </c>
      <c r="I2010">
        <v>2.73</v>
      </c>
      <c r="J2010">
        <v>0.75</v>
      </c>
      <c r="K2010">
        <v>0.05</v>
      </c>
    </row>
    <row r="2011" spans="1:11" x14ac:dyDescent="0.35">
      <c r="A2011" s="204">
        <v>38448</v>
      </c>
      <c r="B2011" s="544">
        <v>4.25</v>
      </c>
      <c r="C2011">
        <v>5.05</v>
      </c>
      <c r="D2011">
        <v>5.85</v>
      </c>
      <c r="E2011">
        <v>6.25</v>
      </c>
      <c r="F2011">
        <v>1.63</v>
      </c>
      <c r="G2011">
        <v>2.38</v>
      </c>
      <c r="H2011">
        <v>2.98</v>
      </c>
      <c r="I2011">
        <v>2.73</v>
      </c>
      <c r="J2011">
        <v>0.75</v>
      </c>
      <c r="K2011">
        <v>0.05</v>
      </c>
    </row>
    <row r="2012" spans="1:11" x14ac:dyDescent="0.35">
      <c r="A2012" s="204">
        <v>38455</v>
      </c>
      <c r="B2012" s="544">
        <v>4.25</v>
      </c>
      <c r="C2012">
        <v>5.05</v>
      </c>
      <c r="D2012">
        <v>5.85</v>
      </c>
      <c r="E2012">
        <v>6.25</v>
      </c>
      <c r="F2012">
        <v>1.63</v>
      </c>
      <c r="G2012">
        <v>2.38</v>
      </c>
      <c r="H2012">
        <v>2.98</v>
      </c>
      <c r="I2012">
        <v>2.73</v>
      </c>
      <c r="J2012">
        <v>0.75</v>
      </c>
      <c r="K2012">
        <v>0.05</v>
      </c>
    </row>
    <row r="2013" spans="1:11" x14ac:dyDescent="0.35">
      <c r="A2013" s="204">
        <v>38462</v>
      </c>
      <c r="B2013" s="544">
        <v>4.25</v>
      </c>
      <c r="C2013">
        <v>4.9000000000000004</v>
      </c>
      <c r="D2013">
        <v>5.6</v>
      </c>
      <c r="E2013">
        <v>6.05</v>
      </c>
      <c r="F2013">
        <v>1.48</v>
      </c>
      <c r="G2013">
        <v>2.23</v>
      </c>
      <c r="H2013">
        <v>2.78</v>
      </c>
      <c r="I2013">
        <v>2.5299999999999998</v>
      </c>
      <c r="J2013">
        <v>0.75</v>
      </c>
      <c r="K2013">
        <v>0.05</v>
      </c>
    </row>
    <row r="2014" spans="1:11" x14ac:dyDescent="0.35">
      <c r="A2014" s="204">
        <v>38469</v>
      </c>
      <c r="B2014" s="544">
        <v>4.25</v>
      </c>
      <c r="C2014">
        <v>4.9000000000000004</v>
      </c>
      <c r="D2014">
        <v>5.6</v>
      </c>
      <c r="E2014">
        <v>6.05</v>
      </c>
      <c r="F2014">
        <v>1.48</v>
      </c>
      <c r="G2014">
        <v>2.23</v>
      </c>
      <c r="H2014">
        <v>2.78</v>
      </c>
      <c r="I2014">
        <v>2.5299999999999998</v>
      </c>
      <c r="J2014">
        <v>0.75</v>
      </c>
      <c r="K2014">
        <v>0.05</v>
      </c>
    </row>
    <row r="2015" spans="1:11" x14ac:dyDescent="0.35">
      <c r="A2015" s="204">
        <v>38476</v>
      </c>
      <c r="B2015" s="544">
        <v>4.25</v>
      </c>
      <c r="C2015">
        <v>4.9000000000000004</v>
      </c>
      <c r="D2015">
        <v>5.6</v>
      </c>
      <c r="E2015">
        <v>6.05</v>
      </c>
      <c r="F2015">
        <v>1.48</v>
      </c>
      <c r="G2015">
        <v>2.23</v>
      </c>
      <c r="H2015">
        <v>2.78</v>
      </c>
      <c r="I2015">
        <v>2.5299999999999998</v>
      </c>
      <c r="J2015">
        <v>0.75</v>
      </c>
      <c r="K2015">
        <v>0.05</v>
      </c>
    </row>
    <row r="2016" spans="1:11" x14ac:dyDescent="0.35">
      <c r="A2016" s="204">
        <v>38483</v>
      </c>
      <c r="B2016" s="544">
        <v>4.25</v>
      </c>
      <c r="C2016">
        <v>4.9000000000000004</v>
      </c>
      <c r="D2016">
        <v>5.6</v>
      </c>
      <c r="E2016">
        <v>6.05</v>
      </c>
      <c r="F2016">
        <v>1.48</v>
      </c>
      <c r="G2016">
        <v>2.23</v>
      </c>
      <c r="H2016">
        <v>2.78</v>
      </c>
      <c r="I2016">
        <v>2.5299999999999998</v>
      </c>
      <c r="J2016">
        <v>0.75</v>
      </c>
      <c r="K2016">
        <v>0.05</v>
      </c>
    </row>
    <row r="2017" spans="1:11" x14ac:dyDescent="0.35">
      <c r="A2017" s="204">
        <v>38490</v>
      </c>
      <c r="B2017" s="544">
        <v>4.25</v>
      </c>
      <c r="C2017">
        <v>4.9000000000000004</v>
      </c>
      <c r="D2017">
        <v>5.6</v>
      </c>
      <c r="E2017">
        <v>6.05</v>
      </c>
      <c r="F2017">
        <v>1.48</v>
      </c>
      <c r="G2017">
        <v>2.23</v>
      </c>
      <c r="H2017">
        <v>2.78</v>
      </c>
      <c r="I2017">
        <v>2.5299999999999998</v>
      </c>
      <c r="J2017">
        <v>0.75</v>
      </c>
      <c r="K2017">
        <v>0.05</v>
      </c>
    </row>
    <row r="2018" spans="1:11" x14ac:dyDescent="0.35">
      <c r="A2018" s="204">
        <v>38497</v>
      </c>
      <c r="B2018" s="544">
        <v>4.25</v>
      </c>
      <c r="C2018">
        <v>4.8499999999999996</v>
      </c>
      <c r="D2018">
        <v>5.6</v>
      </c>
      <c r="E2018">
        <v>5.95</v>
      </c>
      <c r="F2018">
        <v>1.48</v>
      </c>
      <c r="G2018">
        <v>2.23</v>
      </c>
      <c r="H2018">
        <v>2.78</v>
      </c>
      <c r="I2018">
        <v>2.5299999999999998</v>
      </c>
      <c r="J2018">
        <v>0.75</v>
      </c>
      <c r="K2018">
        <v>0.05</v>
      </c>
    </row>
    <row r="2019" spans="1:11" x14ac:dyDescent="0.35">
      <c r="A2019" s="204">
        <v>38504</v>
      </c>
      <c r="B2019" s="544">
        <v>4.25</v>
      </c>
      <c r="C2019">
        <v>4.8499999999999996</v>
      </c>
      <c r="D2019">
        <v>5.5</v>
      </c>
      <c r="E2019">
        <v>5.85</v>
      </c>
      <c r="F2019">
        <v>1.38</v>
      </c>
      <c r="G2019">
        <v>2.13</v>
      </c>
      <c r="H2019">
        <v>2.68</v>
      </c>
      <c r="I2019">
        <v>2.4300000000000002</v>
      </c>
      <c r="J2019">
        <v>0.75</v>
      </c>
      <c r="K2019">
        <v>0.05</v>
      </c>
    </row>
    <row r="2020" spans="1:11" x14ac:dyDescent="0.35">
      <c r="A2020" s="204">
        <v>38511</v>
      </c>
      <c r="B2020" s="544">
        <v>4.25</v>
      </c>
      <c r="C2020">
        <v>4.75</v>
      </c>
      <c r="D2020">
        <v>5.35</v>
      </c>
      <c r="E2020">
        <v>5.7</v>
      </c>
      <c r="F2020">
        <v>1.38</v>
      </c>
      <c r="G2020">
        <v>2.13</v>
      </c>
      <c r="H2020">
        <v>2.68</v>
      </c>
      <c r="I2020">
        <v>2.4300000000000002</v>
      </c>
      <c r="J2020">
        <v>0.75</v>
      </c>
      <c r="K2020">
        <v>0.05</v>
      </c>
    </row>
    <row r="2021" spans="1:11" x14ac:dyDescent="0.35">
      <c r="A2021" s="204">
        <v>38518</v>
      </c>
      <c r="B2021" s="544">
        <v>4.25</v>
      </c>
      <c r="C2021">
        <v>4.75</v>
      </c>
      <c r="D2021">
        <v>5.35</v>
      </c>
      <c r="E2021">
        <v>5.7</v>
      </c>
      <c r="F2021">
        <v>1.38</v>
      </c>
      <c r="G2021">
        <v>2.13</v>
      </c>
      <c r="H2021">
        <v>2.68</v>
      </c>
      <c r="I2021">
        <v>2.4300000000000002</v>
      </c>
      <c r="J2021">
        <v>0.75</v>
      </c>
      <c r="K2021">
        <v>0.05</v>
      </c>
    </row>
    <row r="2022" spans="1:11" x14ac:dyDescent="0.35">
      <c r="A2022" s="204">
        <v>38525</v>
      </c>
      <c r="B2022" s="544">
        <v>4.25</v>
      </c>
      <c r="C2022">
        <v>4.75</v>
      </c>
      <c r="D2022">
        <v>5.35</v>
      </c>
      <c r="E2022">
        <v>5.7</v>
      </c>
      <c r="F2022">
        <v>1.38</v>
      </c>
      <c r="G2022">
        <v>2.13</v>
      </c>
      <c r="H2022">
        <v>2.68</v>
      </c>
      <c r="I2022">
        <v>2.4300000000000002</v>
      </c>
      <c r="J2022">
        <v>0.75</v>
      </c>
      <c r="K2022">
        <v>0.05</v>
      </c>
    </row>
    <row r="2023" spans="1:11" x14ac:dyDescent="0.35">
      <c r="A2023" s="204">
        <v>38532</v>
      </c>
      <c r="B2023" s="544">
        <v>4.25</v>
      </c>
      <c r="C2023">
        <v>4.75</v>
      </c>
      <c r="D2023">
        <v>5.35</v>
      </c>
      <c r="E2023">
        <v>5.7</v>
      </c>
      <c r="F2023">
        <v>1.28</v>
      </c>
      <c r="G2023">
        <v>1.93</v>
      </c>
      <c r="H2023">
        <v>2.48</v>
      </c>
      <c r="I2023">
        <v>2.23</v>
      </c>
      <c r="J2023">
        <v>0.75</v>
      </c>
      <c r="K2023">
        <v>0.05</v>
      </c>
    </row>
    <row r="2024" spans="1:11" x14ac:dyDescent="0.35">
      <c r="A2024" s="204">
        <v>38539</v>
      </c>
      <c r="B2024" s="544">
        <v>4.25</v>
      </c>
      <c r="C2024">
        <v>4.75</v>
      </c>
      <c r="D2024">
        <v>5.35</v>
      </c>
      <c r="E2024">
        <v>5.7</v>
      </c>
      <c r="F2024">
        <v>1.28</v>
      </c>
      <c r="G2024">
        <v>1.93</v>
      </c>
      <c r="H2024">
        <v>2.48</v>
      </c>
      <c r="I2024">
        <v>2.23</v>
      </c>
      <c r="J2024">
        <v>0.75</v>
      </c>
      <c r="K2024">
        <v>0.05</v>
      </c>
    </row>
    <row r="2025" spans="1:11" x14ac:dyDescent="0.35">
      <c r="A2025" s="204">
        <v>38546</v>
      </c>
      <c r="B2025" s="544">
        <v>4.25</v>
      </c>
      <c r="C2025">
        <v>4.75</v>
      </c>
      <c r="D2025">
        <v>5.35</v>
      </c>
      <c r="E2025">
        <v>5.7</v>
      </c>
      <c r="F2025">
        <v>1.28</v>
      </c>
      <c r="G2025">
        <v>1.93</v>
      </c>
      <c r="H2025">
        <v>2.48</v>
      </c>
      <c r="I2025">
        <v>2.23</v>
      </c>
      <c r="J2025">
        <v>0.75</v>
      </c>
      <c r="K2025">
        <v>0.05</v>
      </c>
    </row>
    <row r="2026" spans="1:11" x14ac:dyDescent="0.35">
      <c r="A2026" s="204">
        <v>38553</v>
      </c>
      <c r="B2026" s="544">
        <v>4.25</v>
      </c>
      <c r="C2026">
        <v>4.9000000000000004</v>
      </c>
      <c r="D2026">
        <v>5.4</v>
      </c>
      <c r="E2026">
        <v>5.8</v>
      </c>
      <c r="F2026">
        <v>1.28</v>
      </c>
      <c r="G2026">
        <v>1.93</v>
      </c>
      <c r="H2026">
        <v>2.48</v>
      </c>
      <c r="I2026">
        <v>2.23</v>
      </c>
      <c r="J2026">
        <v>0.75</v>
      </c>
      <c r="K2026">
        <v>0.05</v>
      </c>
    </row>
    <row r="2027" spans="1:11" x14ac:dyDescent="0.35">
      <c r="A2027" s="204">
        <v>38560</v>
      </c>
      <c r="B2027" s="544">
        <v>4.25</v>
      </c>
      <c r="C2027">
        <v>4.9000000000000004</v>
      </c>
      <c r="D2027">
        <v>5.4</v>
      </c>
      <c r="E2027">
        <v>5.8</v>
      </c>
      <c r="F2027">
        <v>1.28</v>
      </c>
      <c r="G2027">
        <v>1.93</v>
      </c>
      <c r="H2027">
        <v>2.48</v>
      </c>
      <c r="I2027">
        <v>2.23</v>
      </c>
      <c r="J2027">
        <v>0.75</v>
      </c>
      <c r="K2027">
        <v>0.05</v>
      </c>
    </row>
    <row r="2028" spans="1:11" x14ac:dyDescent="0.35">
      <c r="A2028" s="204">
        <v>38567</v>
      </c>
      <c r="B2028" s="544">
        <v>4.25</v>
      </c>
      <c r="C2028">
        <v>4.9000000000000004</v>
      </c>
      <c r="D2028">
        <v>5.4</v>
      </c>
      <c r="E2028">
        <v>5.8</v>
      </c>
      <c r="F2028">
        <v>1.28</v>
      </c>
      <c r="G2028">
        <v>1.93</v>
      </c>
      <c r="H2028">
        <v>2.48</v>
      </c>
      <c r="I2028">
        <v>2.23</v>
      </c>
      <c r="J2028">
        <v>0.75</v>
      </c>
      <c r="K2028">
        <v>0.05</v>
      </c>
    </row>
    <row r="2029" spans="1:11" x14ac:dyDescent="0.35">
      <c r="A2029" s="204">
        <v>38574</v>
      </c>
      <c r="B2029" s="544">
        <v>4.25</v>
      </c>
      <c r="C2029">
        <v>4.9000000000000004</v>
      </c>
      <c r="D2029">
        <v>5.4</v>
      </c>
      <c r="E2029">
        <v>5.8</v>
      </c>
      <c r="F2029">
        <v>1.28</v>
      </c>
      <c r="G2029">
        <v>1.93</v>
      </c>
      <c r="H2029">
        <v>2.48</v>
      </c>
      <c r="I2029">
        <v>2.23</v>
      </c>
      <c r="J2029">
        <v>0.75</v>
      </c>
      <c r="K2029">
        <v>0.05</v>
      </c>
    </row>
    <row r="2030" spans="1:11" x14ac:dyDescent="0.35">
      <c r="A2030" s="204">
        <v>38581</v>
      </c>
      <c r="B2030" s="544">
        <v>4.25</v>
      </c>
      <c r="C2030">
        <v>5</v>
      </c>
      <c r="D2030">
        <v>5.5</v>
      </c>
      <c r="E2030">
        <v>5.9</v>
      </c>
      <c r="F2030">
        <v>1.28</v>
      </c>
      <c r="G2030">
        <v>1.93</v>
      </c>
      <c r="H2030">
        <v>2.48</v>
      </c>
      <c r="I2030">
        <v>2.23</v>
      </c>
      <c r="J2030">
        <v>0.75</v>
      </c>
      <c r="K2030">
        <v>0.05</v>
      </c>
    </row>
    <row r="2031" spans="1:11" x14ac:dyDescent="0.35">
      <c r="A2031" s="204">
        <v>38588</v>
      </c>
      <c r="B2031" s="544">
        <v>4.25</v>
      </c>
      <c r="C2031">
        <v>5</v>
      </c>
      <c r="D2031">
        <v>5.4</v>
      </c>
      <c r="E2031">
        <v>5.8</v>
      </c>
      <c r="F2031">
        <v>1.28</v>
      </c>
      <c r="G2031">
        <v>1.93</v>
      </c>
      <c r="H2031">
        <v>2.48</v>
      </c>
      <c r="I2031">
        <v>2.23</v>
      </c>
      <c r="J2031">
        <v>0.75</v>
      </c>
      <c r="K2031">
        <v>0.05</v>
      </c>
    </row>
    <row r="2032" spans="1:11" x14ac:dyDescent="0.35">
      <c r="A2032" s="204">
        <v>38595</v>
      </c>
      <c r="B2032" s="544">
        <v>4.25</v>
      </c>
      <c r="C2032">
        <v>5</v>
      </c>
      <c r="D2032">
        <v>5.4</v>
      </c>
      <c r="E2032">
        <v>5.8</v>
      </c>
      <c r="F2032">
        <v>1.28</v>
      </c>
      <c r="G2032">
        <v>1.93</v>
      </c>
      <c r="H2032">
        <v>2.48</v>
      </c>
      <c r="I2032">
        <v>2.23</v>
      </c>
      <c r="J2032">
        <v>0.75</v>
      </c>
      <c r="K2032">
        <v>0.05</v>
      </c>
    </row>
    <row r="2033" spans="1:11" x14ac:dyDescent="0.35">
      <c r="A2033" s="204">
        <v>38602</v>
      </c>
      <c r="B2033" s="544">
        <v>4.25</v>
      </c>
      <c r="C2033">
        <v>5</v>
      </c>
      <c r="D2033">
        <v>5.4</v>
      </c>
      <c r="E2033">
        <v>5.8</v>
      </c>
      <c r="F2033">
        <v>1.28</v>
      </c>
      <c r="G2033">
        <v>1.93</v>
      </c>
      <c r="H2033">
        <v>2.48</v>
      </c>
      <c r="I2033">
        <v>2.23</v>
      </c>
      <c r="J2033">
        <v>0.75</v>
      </c>
      <c r="K2033">
        <v>0.05</v>
      </c>
    </row>
    <row r="2034" spans="1:11" x14ac:dyDescent="0.35">
      <c r="A2034" s="204">
        <v>38609</v>
      </c>
      <c r="B2034" s="544">
        <v>4.5</v>
      </c>
      <c r="C2034">
        <v>5</v>
      </c>
      <c r="D2034">
        <v>5.4</v>
      </c>
      <c r="E2034">
        <v>5.8</v>
      </c>
      <c r="F2034">
        <v>1.28</v>
      </c>
      <c r="G2034">
        <v>1.93</v>
      </c>
      <c r="H2034">
        <v>2.48</v>
      </c>
      <c r="I2034">
        <v>2.23</v>
      </c>
      <c r="J2034">
        <v>0.75</v>
      </c>
      <c r="K2034">
        <v>0.05</v>
      </c>
    </row>
    <row r="2035" spans="1:11" x14ac:dyDescent="0.35">
      <c r="A2035" s="204">
        <v>38616</v>
      </c>
      <c r="B2035" s="544">
        <v>4.5</v>
      </c>
      <c r="C2035">
        <v>5</v>
      </c>
      <c r="D2035">
        <v>5.4</v>
      </c>
      <c r="E2035">
        <v>5.8</v>
      </c>
      <c r="F2035">
        <v>1.28</v>
      </c>
      <c r="G2035">
        <v>1.93</v>
      </c>
      <c r="H2035">
        <v>2.48</v>
      </c>
      <c r="I2035">
        <v>2.23</v>
      </c>
      <c r="J2035">
        <v>0.75</v>
      </c>
      <c r="K2035">
        <v>0.05</v>
      </c>
    </row>
    <row r="2036" spans="1:11" x14ac:dyDescent="0.35">
      <c r="A2036" s="204">
        <v>38623</v>
      </c>
      <c r="B2036" s="544">
        <v>4.5</v>
      </c>
      <c r="C2036">
        <v>5</v>
      </c>
      <c r="D2036">
        <v>5.4</v>
      </c>
      <c r="E2036">
        <v>5.8</v>
      </c>
      <c r="F2036">
        <v>1.28</v>
      </c>
      <c r="G2036">
        <v>1.93</v>
      </c>
      <c r="H2036">
        <v>2.48</v>
      </c>
      <c r="I2036">
        <v>2.23</v>
      </c>
      <c r="J2036">
        <v>0.75</v>
      </c>
      <c r="K2036">
        <v>0.05</v>
      </c>
    </row>
    <row r="2037" spans="1:11" x14ac:dyDescent="0.35">
      <c r="A2037" s="204">
        <v>38630</v>
      </c>
      <c r="B2037" s="544">
        <v>4.5</v>
      </c>
      <c r="C2037">
        <v>5.05</v>
      </c>
      <c r="D2037">
        <v>5.4</v>
      </c>
      <c r="E2037">
        <v>5.8</v>
      </c>
      <c r="F2037">
        <v>1.28</v>
      </c>
      <c r="G2037">
        <v>1.93</v>
      </c>
      <c r="H2037">
        <v>2.48</v>
      </c>
      <c r="I2037">
        <v>2.23</v>
      </c>
      <c r="J2037">
        <v>0.75</v>
      </c>
      <c r="K2037">
        <v>0.05</v>
      </c>
    </row>
    <row r="2038" spans="1:11" x14ac:dyDescent="0.35">
      <c r="A2038" s="204">
        <v>38637</v>
      </c>
      <c r="B2038" s="544">
        <v>4.5</v>
      </c>
      <c r="C2038">
        <v>5.05</v>
      </c>
      <c r="D2038">
        <v>5.45</v>
      </c>
      <c r="E2038">
        <v>5.9</v>
      </c>
      <c r="F2038">
        <v>1.58</v>
      </c>
      <c r="G2038">
        <v>2.13</v>
      </c>
      <c r="H2038">
        <v>2.58</v>
      </c>
      <c r="I2038">
        <v>2.33</v>
      </c>
      <c r="J2038">
        <v>0.75</v>
      </c>
      <c r="K2038">
        <v>0.05</v>
      </c>
    </row>
    <row r="2039" spans="1:11" x14ac:dyDescent="0.35">
      <c r="A2039" s="204">
        <v>38644</v>
      </c>
      <c r="B2039" s="544">
        <v>4.75</v>
      </c>
      <c r="C2039">
        <v>5.05</v>
      </c>
      <c r="D2039">
        <v>5.55</v>
      </c>
      <c r="E2039">
        <v>6</v>
      </c>
      <c r="F2039">
        <v>1.58</v>
      </c>
      <c r="G2039">
        <v>2.13</v>
      </c>
      <c r="H2039">
        <v>2.58</v>
      </c>
      <c r="I2039">
        <v>2.33</v>
      </c>
      <c r="J2039">
        <v>0.75</v>
      </c>
      <c r="K2039">
        <v>0.05</v>
      </c>
    </row>
    <row r="2040" spans="1:11" x14ac:dyDescent="0.35">
      <c r="A2040" s="204">
        <v>38651</v>
      </c>
      <c r="B2040" s="544">
        <v>4.75</v>
      </c>
      <c r="C2040">
        <v>5.25</v>
      </c>
      <c r="D2040">
        <v>5.6</v>
      </c>
      <c r="E2040">
        <v>6</v>
      </c>
      <c r="F2040">
        <v>1.78</v>
      </c>
      <c r="G2040">
        <v>2.23</v>
      </c>
      <c r="H2040">
        <v>2.68</v>
      </c>
      <c r="I2040">
        <v>2.4300000000000002</v>
      </c>
      <c r="J2040">
        <v>0.75</v>
      </c>
      <c r="K2040">
        <v>0.05</v>
      </c>
    </row>
    <row r="2041" spans="1:11" x14ac:dyDescent="0.35">
      <c r="A2041" s="204">
        <v>38658</v>
      </c>
      <c r="B2041" s="544">
        <v>4.75</v>
      </c>
      <c r="C2041">
        <v>5.4</v>
      </c>
      <c r="D2041">
        <v>5.65</v>
      </c>
      <c r="E2041">
        <v>6.15</v>
      </c>
      <c r="F2041">
        <v>1.78</v>
      </c>
      <c r="G2041">
        <v>2.23</v>
      </c>
      <c r="H2041">
        <v>2.68</v>
      </c>
      <c r="I2041">
        <v>2.4300000000000002</v>
      </c>
      <c r="J2041">
        <v>0.75</v>
      </c>
      <c r="K2041">
        <v>0.05</v>
      </c>
    </row>
    <row r="2042" spans="1:11" x14ac:dyDescent="0.35">
      <c r="A2042" s="204">
        <v>38665</v>
      </c>
      <c r="B2042" s="544">
        <v>4.75</v>
      </c>
      <c r="C2042">
        <v>5.4</v>
      </c>
      <c r="D2042">
        <v>5.65</v>
      </c>
      <c r="E2042">
        <v>6.15</v>
      </c>
      <c r="F2042">
        <v>1.88</v>
      </c>
      <c r="G2042">
        <v>2.23</v>
      </c>
      <c r="H2042">
        <v>2.68</v>
      </c>
      <c r="I2042">
        <v>2.4300000000000002</v>
      </c>
      <c r="J2042">
        <v>0.75</v>
      </c>
      <c r="K2042">
        <v>0.05</v>
      </c>
    </row>
    <row r="2043" spans="1:11" x14ac:dyDescent="0.35">
      <c r="A2043" s="204">
        <v>38672</v>
      </c>
      <c r="B2043" s="544">
        <v>4.75</v>
      </c>
      <c r="C2043">
        <v>5.4</v>
      </c>
      <c r="D2043">
        <v>5.65</v>
      </c>
      <c r="E2043">
        <v>6.15</v>
      </c>
      <c r="F2043">
        <v>1.88</v>
      </c>
      <c r="G2043">
        <v>2.23</v>
      </c>
      <c r="H2043">
        <v>2.68</v>
      </c>
      <c r="I2043">
        <v>2.4300000000000002</v>
      </c>
      <c r="J2043">
        <v>0.75</v>
      </c>
      <c r="K2043">
        <v>0.05</v>
      </c>
    </row>
    <row r="2044" spans="1:11" x14ac:dyDescent="0.35">
      <c r="A2044" s="204">
        <v>38679</v>
      </c>
      <c r="B2044" s="544">
        <v>4.75</v>
      </c>
      <c r="C2044">
        <v>5.4</v>
      </c>
      <c r="D2044">
        <v>5.65</v>
      </c>
      <c r="E2044">
        <v>6.15</v>
      </c>
      <c r="F2044">
        <v>2.0299999999999998</v>
      </c>
      <c r="G2044">
        <v>2.33</v>
      </c>
      <c r="H2044">
        <v>2.78</v>
      </c>
      <c r="I2044">
        <v>2.5299999999999998</v>
      </c>
      <c r="J2044">
        <v>0.75</v>
      </c>
      <c r="K2044">
        <v>0.05</v>
      </c>
    </row>
    <row r="2045" spans="1:11" x14ac:dyDescent="0.35">
      <c r="A2045" s="204">
        <v>38686</v>
      </c>
      <c r="B2045" s="544">
        <v>4.75</v>
      </c>
      <c r="C2045">
        <v>5.6</v>
      </c>
      <c r="D2045">
        <v>5.65</v>
      </c>
      <c r="E2045">
        <v>6.15</v>
      </c>
      <c r="F2045">
        <v>2.0299999999999998</v>
      </c>
      <c r="G2045">
        <v>2.33</v>
      </c>
      <c r="H2045">
        <v>2.78</v>
      </c>
      <c r="I2045">
        <v>2.5299999999999998</v>
      </c>
      <c r="J2045">
        <v>0.75</v>
      </c>
      <c r="K2045">
        <v>0.05</v>
      </c>
    </row>
    <row r="2046" spans="1:11" x14ac:dyDescent="0.35">
      <c r="A2046" s="204">
        <v>38693</v>
      </c>
      <c r="B2046" s="544">
        <v>5</v>
      </c>
      <c r="C2046">
        <v>5.6</v>
      </c>
      <c r="D2046">
        <v>5.7</v>
      </c>
      <c r="E2046">
        <v>6.15</v>
      </c>
      <c r="F2046">
        <v>2.0299999999999998</v>
      </c>
      <c r="G2046">
        <v>2.33</v>
      </c>
      <c r="H2046">
        <v>2.78</v>
      </c>
      <c r="I2046">
        <v>2.5299999999999998</v>
      </c>
      <c r="J2046">
        <v>0.75</v>
      </c>
      <c r="K2046">
        <v>0.05</v>
      </c>
    </row>
    <row r="2047" spans="1:11" x14ac:dyDescent="0.35">
      <c r="A2047" s="204">
        <v>38700</v>
      </c>
      <c r="B2047" s="544">
        <v>5</v>
      </c>
      <c r="C2047">
        <v>5.6</v>
      </c>
      <c r="D2047">
        <v>5.7</v>
      </c>
      <c r="E2047">
        <v>6.15</v>
      </c>
      <c r="F2047">
        <v>2.0299999999999998</v>
      </c>
      <c r="G2047">
        <v>2.33</v>
      </c>
      <c r="H2047">
        <v>2.78</v>
      </c>
      <c r="I2047">
        <v>2.5299999999999998</v>
      </c>
      <c r="J2047">
        <v>0.75</v>
      </c>
      <c r="K2047">
        <v>0.05</v>
      </c>
    </row>
    <row r="2048" spans="1:11" x14ac:dyDescent="0.35">
      <c r="A2048" s="204">
        <v>38707</v>
      </c>
      <c r="B2048" s="544">
        <v>5</v>
      </c>
      <c r="C2048">
        <v>5.8</v>
      </c>
      <c r="D2048">
        <v>6</v>
      </c>
      <c r="E2048">
        <v>6.3</v>
      </c>
      <c r="F2048">
        <v>2.0299999999999998</v>
      </c>
      <c r="G2048">
        <v>2.33</v>
      </c>
      <c r="H2048">
        <v>2.78</v>
      </c>
      <c r="I2048">
        <v>2.5299999999999998</v>
      </c>
      <c r="J2048">
        <v>0.75</v>
      </c>
      <c r="K2048">
        <v>0.05</v>
      </c>
    </row>
    <row r="2049" spans="1:11" x14ac:dyDescent="0.35">
      <c r="A2049" s="204">
        <v>38714</v>
      </c>
      <c r="B2049" s="544">
        <v>5</v>
      </c>
      <c r="C2049">
        <v>5.8</v>
      </c>
      <c r="D2049">
        <v>6</v>
      </c>
      <c r="E2049">
        <v>6.3</v>
      </c>
      <c r="F2049">
        <v>2.0299999999999998</v>
      </c>
      <c r="G2049">
        <v>2.33</v>
      </c>
      <c r="H2049">
        <v>2.78</v>
      </c>
      <c r="I2049">
        <v>2.5299999999999998</v>
      </c>
      <c r="J2049">
        <v>0.75</v>
      </c>
      <c r="K2049">
        <v>0.05</v>
      </c>
    </row>
    <row r="2050" spans="1:11" x14ac:dyDescent="0.35">
      <c r="A2050" s="204">
        <v>38721</v>
      </c>
      <c r="B2050" s="544">
        <v>5</v>
      </c>
      <c r="C2050">
        <v>5.8</v>
      </c>
      <c r="D2050">
        <v>6</v>
      </c>
      <c r="E2050">
        <v>6.3</v>
      </c>
      <c r="F2050">
        <v>2.0299999999999998</v>
      </c>
      <c r="G2050">
        <v>2.33</v>
      </c>
      <c r="H2050">
        <v>2.78</v>
      </c>
      <c r="I2050">
        <v>2.5299999999999998</v>
      </c>
      <c r="J2050">
        <v>0.75</v>
      </c>
      <c r="K2050">
        <v>0.05</v>
      </c>
    </row>
    <row r="2051" spans="1:11" x14ac:dyDescent="0.35">
      <c r="A2051" s="204">
        <v>38728</v>
      </c>
      <c r="B2051" s="544">
        <v>5</v>
      </c>
      <c r="C2051">
        <v>5.8</v>
      </c>
      <c r="D2051">
        <v>6</v>
      </c>
      <c r="E2051">
        <v>6.3</v>
      </c>
      <c r="F2051">
        <v>2.0299999999999998</v>
      </c>
      <c r="G2051">
        <v>2.33</v>
      </c>
      <c r="H2051">
        <v>2.78</v>
      </c>
      <c r="I2051">
        <v>2.5299999999999998</v>
      </c>
      <c r="J2051">
        <v>0.75</v>
      </c>
      <c r="K2051">
        <v>0.05</v>
      </c>
    </row>
    <row r="2052" spans="1:11" x14ac:dyDescent="0.35">
      <c r="A2052" s="204">
        <v>38735</v>
      </c>
      <c r="B2052" s="544">
        <v>5</v>
      </c>
      <c r="C2052">
        <v>5.8</v>
      </c>
      <c r="D2052">
        <v>6</v>
      </c>
      <c r="E2052">
        <v>6.3</v>
      </c>
      <c r="F2052">
        <v>2.0299999999999998</v>
      </c>
      <c r="G2052">
        <v>2.33</v>
      </c>
      <c r="H2052">
        <v>2.78</v>
      </c>
      <c r="I2052">
        <v>2.5299999999999998</v>
      </c>
      <c r="J2052">
        <v>0.75</v>
      </c>
      <c r="K2052">
        <v>0.05</v>
      </c>
    </row>
    <row r="2053" spans="1:11" x14ac:dyDescent="0.35">
      <c r="A2053" s="204">
        <v>38742</v>
      </c>
      <c r="B2053" s="544">
        <v>5.25</v>
      </c>
      <c r="C2053">
        <v>5.8</v>
      </c>
      <c r="D2053">
        <v>6</v>
      </c>
      <c r="E2053">
        <v>6.3</v>
      </c>
      <c r="F2053">
        <v>2.0299999999999998</v>
      </c>
      <c r="G2053">
        <v>2.33</v>
      </c>
      <c r="H2053">
        <v>2.78</v>
      </c>
      <c r="I2053">
        <v>2.5299999999999998</v>
      </c>
      <c r="J2053">
        <v>0.75</v>
      </c>
      <c r="K2053">
        <v>0.05</v>
      </c>
    </row>
    <row r="2054" spans="1:11" x14ac:dyDescent="0.35">
      <c r="A2054" s="204">
        <v>38749</v>
      </c>
      <c r="B2054" s="544">
        <v>5.25</v>
      </c>
      <c r="C2054">
        <v>5.8</v>
      </c>
      <c r="D2054">
        <v>6</v>
      </c>
      <c r="E2054">
        <v>6.3</v>
      </c>
      <c r="F2054">
        <v>2.4300000000000002</v>
      </c>
      <c r="G2054">
        <v>2.73</v>
      </c>
      <c r="H2054">
        <v>2.98</v>
      </c>
      <c r="I2054">
        <v>2.73</v>
      </c>
      <c r="J2054">
        <v>0.75</v>
      </c>
      <c r="K2054">
        <v>0.05</v>
      </c>
    </row>
    <row r="2055" spans="1:11" x14ac:dyDescent="0.35">
      <c r="A2055" s="204">
        <v>38756</v>
      </c>
      <c r="B2055" s="544">
        <v>5.25</v>
      </c>
      <c r="C2055">
        <v>5.85</v>
      </c>
      <c r="D2055">
        <v>6.1</v>
      </c>
      <c r="E2055">
        <v>6.45</v>
      </c>
      <c r="F2055">
        <v>2.4300000000000002</v>
      </c>
      <c r="G2055">
        <v>2.73</v>
      </c>
      <c r="H2055">
        <v>2.98</v>
      </c>
      <c r="I2055">
        <v>2.73</v>
      </c>
      <c r="J2055">
        <v>0.75</v>
      </c>
      <c r="K2055">
        <v>0.05</v>
      </c>
    </row>
    <row r="2056" spans="1:11" x14ac:dyDescent="0.35">
      <c r="A2056" s="204">
        <v>38763</v>
      </c>
      <c r="B2056" s="544">
        <v>5.25</v>
      </c>
      <c r="C2056">
        <v>5.85</v>
      </c>
      <c r="D2056">
        <v>6.1</v>
      </c>
      <c r="E2056">
        <v>6.45</v>
      </c>
      <c r="F2056">
        <v>2.63</v>
      </c>
      <c r="G2056">
        <v>2.88</v>
      </c>
      <c r="H2056">
        <v>3.13</v>
      </c>
      <c r="I2056">
        <v>2.88</v>
      </c>
      <c r="J2056">
        <v>0.75</v>
      </c>
      <c r="K2056">
        <v>0.05</v>
      </c>
    </row>
    <row r="2057" spans="1:11" x14ac:dyDescent="0.35">
      <c r="A2057" s="204">
        <v>38770</v>
      </c>
      <c r="B2057" s="544">
        <v>5.25</v>
      </c>
      <c r="C2057">
        <v>5.85</v>
      </c>
      <c r="D2057">
        <v>6.1</v>
      </c>
      <c r="E2057">
        <v>6.45</v>
      </c>
      <c r="F2057">
        <v>2.63</v>
      </c>
      <c r="G2057">
        <v>2.88</v>
      </c>
      <c r="H2057">
        <v>3.13</v>
      </c>
      <c r="I2057">
        <v>2.88</v>
      </c>
      <c r="J2057">
        <v>0.75</v>
      </c>
      <c r="K2057">
        <v>0.05</v>
      </c>
    </row>
    <row r="2058" spans="1:11" x14ac:dyDescent="0.35">
      <c r="A2058" s="204">
        <v>38777</v>
      </c>
      <c r="B2058" s="544">
        <v>5.25</v>
      </c>
      <c r="C2058">
        <v>5.85</v>
      </c>
      <c r="D2058">
        <v>6.2</v>
      </c>
      <c r="E2058">
        <v>6.45</v>
      </c>
      <c r="F2058">
        <v>2.63</v>
      </c>
      <c r="G2058">
        <v>2.88</v>
      </c>
      <c r="H2058">
        <v>3.13</v>
      </c>
      <c r="I2058">
        <v>2.88</v>
      </c>
      <c r="J2058">
        <v>0.75</v>
      </c>
      <c r="K2058">
        <v>0.05</v>
      </c>
    </row>
    <row r="2059" spans="1:11" x14ac:dyDescent="0.35">
      <c r="A2059" s="204">
        <v>38784</v>
      </c>
      <c r="B2059" s="544">
        <v>5.5</v>
      </c>
      <c r="C2059">
        <v>6.05</v>
      </c>
      <c r="D2059">
        <v>6.2</v>
      </c>
      <c r="E2059">
        <v>6.45</v>
      </c>
      <c r="F2059">
        <v>2.63</v>
      </c>
      <c r="G2059">
        <v>2.88</v>
      </c>
      <c r="H2059">
        <v>3.13</v>
      </c>
      <c r="I2059">
        <v>2.88</v>
      </c>
      <c r="J2059">
        <v>0.75</v>
      </c>
      <c r="K2059">
        <v>0.05</v>
      </c>
    </row>
    <row r="2060" spans="1:11" x14ac:dyDescent="0.35">
      <c r="A2060" s="204">
        <v>38791</v>
      </c>
      <c r="B2060" s="544">
        <v>5.5</v>
      </c>
      <c r="C2060">
        <v>6.05</v>
      </c>
      <c r="D2060">
        <v>6.2</v>
      </c>
      <c r="E2060">
        <v>6.45</v>
      </c>
      <c r="F2060">
        <v>2.63</v>
      </c>
      <c r="G2060">
        <v>2.88</v>
      </c>
      <c r="H2060">
        <v>3.13</v>
      </c>
      <c r="I2060">
        <v>2.88</v>
      </c>
      <c r="J2060">
        <v>0.75</v>
      </c>
      <c r="K2060">
        <v>0.05</v>
      </c>
    </row>
    <row r="2061" spans="1:11" x14ac:dyDescent="0.35">
      <c r="A2061" s="204">
        <v>38798</v>
      </c>
      <c r="B2061" s="544">
        <v>5.5</v>
      </c>
      <c r="C2061">
        <v>6.05</v>
      </c>
      <c r="D2061">
        <v>6.2</v>
      </c>
      <c r="E2061">
        <v>6.45</v>
      </c>
      <c r="F2061">
        <v>2.63</v>
      </c>
      <c r="G2061">
        <v>2.88</v>
      </c>
      <c r="H2061">
        <v>3.13</v>
      </c>
      <c r="I2061">
        <v>2.88</v>
      </c>
      <c r="J2061">
        <v>0.75</v>
      </c>
      <c r="K2061">
        <v>0.05</v>
      </c>
    </row>
    <row r="2062" spans="1:11" x14ac:dyDescent="0.35">
      <c r="A2062" s="204">
        <v>38805</v>
      </c>
      <c r="B2062" s="544">
        <v>5.5</v>
      </c>
      <c r="C2062">
        <v>6.05</v>
      </c>
      <c r="D2062">
        <v>6.2</v>
      </c>
      <c r="E2062">
        <v>6.45</v>
      </c>
      <c r="F2062">
        <v>2.63</v>
      </c>
      <c r="G2062">
        <v>2.88</v>
      </c>
      <c r="H2062">
        <v>3.13</v>
      </c>
      <c r="I2062">
        <v>2.88</v>
      </c>
      <c r="J2062">
        <v>0.75</v>
      </c>
      <c r="K2062">
        <v>0.05</v>
      </c>
    </row>
    <row r="2063" spans="1:11" x14ac:dyDescent="0.35">
      <c r="A2063" s="204">
        <v>38812</v>
      </c>
      <c r="B2063" s="544">
        <v>5.5</v>
      </c>
      <c r="C2063">
        <v>6.05</v>
      </c>
      <c r="D2063">
        <v>6.2</v>
      </c>
      <c r="E2063">
        <v>6.45</v>
      </c>
      <c r="F2063">
        <v>2.63</v>
      </c>
      <c r="G2063">
        <v>2.88</v>
      </c>
      <c r="H2063">
        <v>3.13</v>
      </c>
      <c r="I2063">
        <v>2.88</v>
      </c>
      <c r="J2063">
        <v>0.75</v>
      </c>
      <c r="K2063">
        <v>0.05</v>
      </c>
    </row>
    <row r="2064" spans="1:11" x14ac:dyDescent="0.35">
      <c r="A2064" s="204">
        <v>38819</v>
      </c>
      <c r="B2064" s="544">
        <v>5.5</v>
      </c>
      <c r="C2064">
        <v>6.15</v>
      </c>
      <c r="D2064">
        <v>6.3</v>
      </c>
      <c r="E2064">
        <v>6.6</v>
      </c>
      <c r="F2064">
        <v>2.63</v>
      </c>
      <c r="G2064">
        <v>2.88</v>
      </c>
      <c r="H2064">
        <v>3.13</v>
      </c>
      <c r="I2064">
        <v>2.88</v>
      </c>
      <c r="J2064">
        <v>0.75</v>
      </c>
      <c r="K2064">
        <v>0.05</v>
      </c>
    </row>
    <row r="2065" spans="1:11" x14ac:dyDescent="0.35">
      <c r="A2065" s="204">
        <v>38826</v>
      </c>
      <c r="B2065" s="544">
        <v>5.5</v>
      </c>
      <c r="C2065">
        <v>6.15</v>
      </c>
      <c r="D2065">
        <v>6.3</v>
      </c>
      <c r="E2065">
        <v>6.6</v>
      </c>
      <c r="F2065">
        <v>2.63</v>
      </c>
      <c r="G2065">
        <v>2.88</v>
      </c>
      <c r="H2065">
        <v>3.13</v>
      </c>
      <c r="I2065">
        <v>2.88</v>
      </c>
      <c r="J2065">
        <v>0.75</v>
      </c>
      <c r="K2065">
        <v>0.05</v>
      </c>
    </row>
    <row r="2066" spans="1:11" x14ac:dyDescent="0.35">
      <c r="A2066" s="204">
        <v>38833</v>
      </c>
      <c r="B2066" s="544">
        <v>5.75</v>
      </c>
      <c r="C2066">
        <v>6.25</v>
      </c>
      <c r="D2066">
        <v>6.45</v>
      </c>
      <c r="E2066">
        <v>6.75</v>
      </c>
      <c r="F2066">
        <v>2.63</v>
      </c>
      <c r="G2066">
        <v>2.88</v>
      </c>
      <c r="H2066">
        <v>3.13</v>
      </c>
      <c r="I2066">
        <v>2.88</v>
      </c>
      <c r="J2066">
        <v>0.75</v>
      </c>
      <c r="K2066">
        <v>0.05</v>
      </c>
    </row>
    <row r="2067" spans="1:11" x14ac:dyDescent="0.35">
      <c r="A2067" s="204">
        <v>38840</v>
      </c>
      <c r="B2067" s="544">
        <v>5.75</v>
      </c>
      <c r="C2067">
        <v>6.25</v>
      </c>
      <c r="D2067">
        <v>6.45</v>
      </c>
      <c r="E2067">
        <v>6.75</v>
      </c>
      <c r="F2067">
        <v>2.98</v>
      </c>
      <c r="G2067">
        <v>3.18</v>
      </c>
      <c r="H2067">
        <v>3.43</v>
      </c>
      <c r="I2067">
        <v>3.18</v>
      </c>
      <c r="J2067">
        <v>0.75</v>
      </c>
      <c r="K2067">
        <v>0.05</v>
      </c>
    </row>
    <row r="2068" spans="1:11" x14ac:dyDescent="0.35">
      <c r="A2068" s="204">
        <v>38847</v>
      </c>
      <c r="B2068" s="544">
        <v>5.75</v>
      </c>
      <c r="C2068">
        <v>6.25</v>
      </c>
      <c r="D2068">
        <v>6.45</v>
      </c>
      <c r="E2068">
        <v>6.75</v>
      </c>
      <c r="F2068">
        <v>2.98</v>
      </c>
      <c r="G2068">
        <v>3.18</v>
      </c>
      <c r="H2068">
        <v>3.43</v>
      </c>
      <c r="I2068">
        <v>3.18</v>
      </c>
      <c r="J2068">
        <v>0.75</v>
      </c>
      <c r="K2068">
        <v>0.05</v>
      </c>
    </row>
    <row r="2069" spans="1:11" x14ac:dyDescent="0.35">
      <c r="A2069" s="204">
        <v>38854</v>
      </c>
      <c r="B2069" s="544">
        <v>5.75</v>
      </c>
      <c r="C2069">
        <v>6.25</v>
      </c>
      <c r="D2069">
        <v>6.45</v>
      </c>
      <c r="E2069">
        <v>6.75</v>
      </c>
      <c r="F2069">
        <v>2.98</v>
      </c>
      <c r="G2069">
        <v>3.18</v>
      </c>
      <c r="H2069">
        <v>3.43</v>
      </c>
      <c r="I2069">
        <v>3.18</v>
      </c>
      <c r="J2069">
        <v>0.75</v>
      </c>
      <c r="K2069">
        <v>0.05</v>
      </c>
    </row>
    <row r="2070" spans="1:11" x14ac:dyDescent="0.35">
      <c r="A2070" s="204">
        <v>38861</v>
      </c>
      <c r="B2070" s="544">
        <v>5.75</v>
      </c>
      <c r="C2070">
        <v>6.25</v>
      </c>
      <c r="D2070">
        <v>6.45</v>
      </c>
      <c r="E2070">
        <v>6.75</v>
      </c>
      <c r="F2070">
        <v>2.98</v>
      </c>
      <c r="G2070">
        <v>3.18</v>
      </c>
      <c r="H2070">
        <v>3.43</v>
      </c>
      <c r="I2070">
        <v>3.18</v>
      </c>
      <c r="J2070">
        <v>0.75</v>
      </c>
      <c r="K2070">
        <v>0.05</v>
      </c>
    </row>
    <row r="2071" spans="1:11" x14ac:dyDescent="0.35">
      <c r="A2071" s="204">
        <v>38868</v>
      </c>
      <c r="B2071" s="544">
        <v>6</v>
      </c>
      <c r="C2071">
        <v>6.25</v>
      </c>
      <c r="D2071">
        <v>6.45</v>
      </c>
      <c r="E2071">
        <v>6.75</v>
      </c>
      <c r="F2071">
        <v>3.08</v>
      </c>
      <c r="G2071">
        <v>3.28</v>
      </c>
      <c r="H2071">
        <v>3.43</v>
      </c>
      <c r="I2071">
        <v>3.18</v>
      </c>
      <c r="J2071">
        <v>0.75</v>
      </c>
      <c r="K2071">
        <v>0.05</v>
      </c>
    </row>
    <row r="2072" spans="1:11" x14ac:dyDescent="0.35">
      <c r="A2072" s="204">
        <v>38875</v>
      </c>
      <c r="B2072" s="544">
        <v>6</v>
      </c>
      <c r="C2072">
        <v>6.25</v>
      </c>
      <c r="D2072">
        <v>6.45</v>
      </c>
      <c r="E2072">
        <v>6.75</v>
      </c>
      <c r="F2072">
        <v>3.08</v>
      </c>
      <c r="G2072">
        <v>3.28</v>
      </c>
      <c r="H2072">
        <v>3.43</v>
      </c>
      <c r="I2072">
        <v>3.18</v>
      </c>
      <c r="J2072">
        <v>0.75</v>
      </c>
      <c r="K2072">
        <v>0.05</v>
      </c>
    </row>
    <row r="2073" spans="1:11" x14ac:dyDescent="0.35">
      <c r="A2073" s="204">
        <v>38882</v>
      </c>
      <c r="B2073" s="544">
        <v>6</v>
      </c>
      <c r="C2073">
        <v>6.35</v>
      </c>
      <c r="D2073">
        <v>6.45</v>
      </c>
      <c r="E2073">
        <v>6.75</v>
      </c>
      <c r="F2073">
        <v>3.08</v>
      </c>
      <c r="G2073">
        <v>3.28</v>
      </c>
      <c r="H2073">
        <v>3.43</v>
      </c>
      <c r="I2073">
        <v>3.18</v>
      </c>
      <c r="J2073">
        <v>0.75</v>
      </c>
      <c r="K2073">
        <v>0.05</v>
      </c>
    </row>
    <row r="2074" spans="1:11" x14ac:dyDescent="0.35">
      <c r="A2074" s="204">
        <v>38889</v>
      </c>
      <c r="B2074" s="544">
        <v>6</v>
      </c>
      <c r="C2074">
        <v>6.5</v>
      </c>
      <c r="D2074">
        <v>6.55</v>
      </c>
      <c r="E2074">
        <v>6.75</v>
      </c>
      <c r="F2074">
        <v>3.08</v>
      </c>
      <c r="G2074">
        <v>3.28</v>
      </c>
      <c r="H2074">
        <v>3.43</v>
      </c>
      <c r="I2074">
        <v>3.18</v>
      </c>
      <c r="J2074">
        <v>0.75</v>
      </c>
      <c r="K2074">
        <v>0.05</v>
      </c>
    </row>
    <row r="2075" spans="1:11" x14ac:dyDescent="0.35">
      <c r="A2075" s="204">
        <v>38896</v>
      </c>
      <c r="B2075" s="544">
        <v>6</v>
      </c>
      <c r="C2075">
        <v>6.6</v>
      </c>
      <c r="D2075">
        <v>6.75</v>
      </c>
      <c r="E2075">
        <v>6.95</v>
      </c>
      <c r="F2075">
        <v>3.08</v>
      </c>
      <c r="G2075">
        <v>3.28</v>
      </c>
      <c r="H2075">
        <v>3.43</v>
      </c>
      <c r="I2075">
        <v>3.18</v>
      </c>
      <c r="J2075">
        <v>0.75</v>
      </c>
      <c r="K2075">
        <v>0.05</v>
      </c>
    </row>
    <row r="2076" spans="1:11" x14ac:dyDescent="0.35">
      <c r="A2076" s="204">
        <v>38903</v>
      </c>
      <c r="B2076" s="544">
        <v>6</v>
      </c>
      <c r="C2076">
        <v>6.6</v>
      </c>
      <c r="D2076">
        <v>6.75</v>
      </c>
      <c r="E2076">
        <v>6.95</v>
      </c>
      <c r="F2076">
        <v>3.08</v>
      </c>
      <c r="G2076">
        <v>3.28</v>
      </c>
      <c r="H2076">
        <v>3.43</v>
      </c>
      <c r="I2076">
        <v>3.18</v>
      </c>
      <c r="J2076">
        <v>0.5</v>
      </c>
      <c r="K2076">
        <v>0.05</v>
      </c>
    </row>
    <row r="2077" spans="1:11" x14ac:dyDescent="0.35">
      <c r="A2077" s="204">
        <v>38910</v>
      </c>
      <c r="B2077" s="544">
        <v>6</v>
      </c>
      <c r="C2077">
        <v>6.6</v>
      </c>
      <c r="D2077">
        <v>6.75</v>
      </c>
      <c r="E2077">
        <v>6.95</v>
      </c>
      <c r="F2077">
        <v>3.08</v>
      </c>
      <c r="G2077">
        <v>3.28</v>
      </c>
      <c r="H2077">
        <v>3.43</v>
      </c>
      <c r="I2077">
        <v>3.18</v>
      </c>
      <c r="J2077">
        <v>0.5</v>
      </c>
      <c r="K2077">
        <v>0.05</v>
      </c>
    </row>
    <row r="2078" spans="1:11" x14ac:dyDescent="0.35">
      <c r="A2078" s="204">
        <v>38917</v>
      </c>
      <c r="B2078" s="544">
        <v>6</v>
      </c>
      <c r="C2078">
        <v>6.6</v>
      </c>
      <c r="D2078">
        <v>6.75</v>
      </c>
      <c r="E2078">
        <v>6.95</v>
      </c>
      <c r="F2078">
        <v>3.08</v>
      </c>
      <c r="G2078">
        <v>3.28</v>
      </c>
      <c r="H2078">
        <v>3.43</v>
      </c>
      <c r="I2078">
        <v>3.18</v>
      </c>
      <c r="J2078">
        <v>0.5</v>
      </c>
      <c r="K2078">
        <v>0.05</v>
      </c>
    </row>
    <row r="2079" spans="1:11" x14ac:dyDescent="0.35">
      <c r="A2079" s="204">
        <v>38924</v>
      </c>
      <c r="B2079" s="544">
        <v>6</v>
      </c>
      <c r="C2079">
        <v>6.6</v>
      </c>
      <c r="D2079">
        <v>6.75</v>
      </c>
      <c r="E2079">
        <v>6.95</v>
      </c>
      <c r="F2079">
        <v>3.08</v>
      </c>
      <c r="G2079">
        <v>3.28</v>
      </c>
      <c r="H2079">
        <v>3.43</v>
      </c>
      <c r="I2079">
        <v>3.18</v>
      </c>
      <c r="J2079">
        <v>0.5</v>
      </c>
      <c r="K2079">
        <v>0.05</v>
      </c>
    </row>
    <row r="2080" spans="1:11" x14ac:dyDescent="0.35">
      <c r="A2080" s="204">
        <v>38931</v>
      </c>
      <c r="B2080" s="544">
        <v>6</v>
      </c>
      <c r="C2080">
        <v>6.6</v>
      </c>
      <c r="D2080">
        <v>6.75</v>
      </c>
      <c r="E2080">
        <v>6.95</v>
      </c>
      <c r="F2080">
        <v>3.08</v>
      </c>
      <c r="G2080">
        <v>3.28</v>
      </c>
      <c r="H2080">
        <v>3.43</v>
      </c>
      <c r="I2080">
        <v>3.18</v>
      </c>
      <c r="J2080">
        <v>0.5</v>
      </c>
      <c r="K2080">
        <v>0.05</v>
      </c>
    </row>
    <row r="2081" spans="1:11" x14ac:dyDescent="0.35">
      <c r="A2081" s="204">
        <v>38938</v>
      </c>
      <c r="B2081" s="544">
        <v>6</v>
      </c>
      <c r="C2081">
        <v>6.6</v>
      </c>
      <c r="D2081">
        <v>6.75</v>
      </c>
      <c r="E2081">
        <v>6.95</v>
      </c>
      <c r="F2081">
        <v>3.08</v>
      </c>
      <c r="G2081">
        <v>3.28</v>
      </c>
      <c r="H2081">
        <v>3.43</v>
      </c>
      <c r="I2081">
        <v>3.18</v>
      </c>
      <c r="J2081">
        <v>0.5</v>
      </c>
      <c r="K2081">
        <v>0.05</v>
      </c>
    </row>
    <row r="2082" spans="1:11" x14ac:dyDescent="0.35">
      <c r="A2082" s="204">
        <v>38945</v>
      </c>
      <c r="B2082" s="544">
        <v>6</v>
      </c>
      <c r="C2082">
        <v>6.6</v>
      </c>
      <c r="D2082">
        <v>6.75</v>
      </c>
      <c r="E2082">
        <v>6.95</v>
      </c>
      <c r="F2082">
        <v>3.08</v>
      </c>
      <c r="G2082">
        <v>3.28</v>
      </c>
      <c r="H2082">
        <v>3.43</v>
      </c>
      <c r="I2082">
        <v>3.08</v>
      </c>
      <c r="J2082">
        <v>0.5</v>
      </c>
      <c r="K2082">
        <v>0.05</v>
      </c>
    </row>
    <row r="2083" spans="1:11" x14ac:dyDescent="0.35">
      <c r="A2083" s="204">
        <v>38952</v>
      </c>
      <c r="B2083" s="544">
        <v>6</v>
      </c>
      <c r="C2083">
        <v>6.4</v>
      </c>
      <c r="D2083">
        <v>6.6</v>
      </c>
      <c r="E2083">
        <v>6.85</v>
      </c>
      <c r="F2083">
        <v>2.98</v>
      </c>
      <c r="G2083">
        <v>3.18</v>
      </c>
      <c r="H2083">
        <v>3.33</v>
      </c>
      <c r="I2083">
        <v>3.08</v>
      </c>
      <c r="J2083">
        <v>0.5</v>
      </c>
      <c r="K2083">
        <v>0.05</v>
      </c>
    </row>
    <row r="2084" spans="1:11" x14ac:dyDescent="0.35">
      <c r="A2084" s="204">
        <v>38959</v>
      </c>
      <c r="B2084" s="544">
        <v>6</v>
      </c>
      <c r="C2084">
        <v>6.4</v>
      </c>
      <c r="D2084">
        <v>6.6</v>
      </c>
      <c r="E2084">
        <v>6.85</v>
      </c>
      <c r="F2084">
        <v>2.93</v>
      </c>
      <c r="G2084">
        <v>3.13</v>
      </c>
      <c r="H2084">
        <v>3.23</v>
      </c>
      <c r="I2084">
        <v>2.98</v>
      </c>
      <c r="J2084">
        <v>0.5</v>
      </c>
      <c r="K2084">
        <v>0.05</v>
      </c>
    </row>
    <row r="2085" spans="1:11" x14ac:dyDescent="0.35">
      <c r="A2085" s="204">
        <v>38966</v>
      </c>
      <c r="B2085" s="544">
        <v>6</v>
      </c>
      <c r="C2085">
        <v>6.4</v>
      </c>
      <c r="D2085">
        <v>6.5</v>
      </c>
      <c r="E2085">
        <v>6.75</v>
      </c>
      <c r="F2085">
        <v>2.93</v>
      </c>
      <c r="G2085">
        <v>3.13</v>
      </c>
      <c r="H2085">
        <v>3.23</v>
      </c>
      <c r="I2085">
        <v>2.98</v>
      </c>
      <c r="J2085">
        <v>0.5</v>
      </c>
      <c r="K2085">
        <v>0.05</v>
      </c>
    </row>
    <row r="2086" spans="1:11" x14ac:dyDescent="0.35">
      <c r="A2086" s="204">
        <v>38973</v>
      </c>
      <c r="B2086" s="544">
        <v>6</v>
      </c>
      <c r="C2086">
        <v>6.4</v>
      </c>
      <c r="D2086">
        <v>6.5</v>
      </c>
      <c r="E2086">
        <v>6.75</v>
      </c>
      <c r="F2086">
        <v>2.93</v>
      </c>
      <c r="G2086">
        <v>3.13</v>
      </c>
      <c r="H2086">
        <v>3.23</v>
      </c>
      <c r="I2086">
        <v>2.98</v>
      </c>
      <c r="J2086">
        <v>0.5</v>
      </c>
      <c r="K2086">
        <v>0.05</v>
      </c>
    </row>
    <row r="2087" spans="1:11" x14ac:dyDescent="0.35">
      <c r="A2087" s="204">
        <v>38980</v>
      </c>
      <c r="B2087" s="544">
        <v>6</v>
      </c>
      <c r="C2087">
        <v>6.4</v>
      </c>
      <c r="D2087">
        <v>6.5</v>
      </c>
      <c r="E2087">
        <v>6.75</v>
      </c>
      <c r="F2087">
        <v>2.93</v>
      </c>
      <c r="G2087">
        <v>3.13</v>
      </c>
      <c r="H2087">
        <v>3.23</v>
      </c>
      <c r="I2087">
        <v>2.88</v>
      </c>
      <c r="J2087">
        <v>0.5</v>
      </c>
      <c r="K2087">
        <v>0.05</v>
      </c>
    </row>
    <row r="2088" spans="1:11" x14ac:dyDescent="0.35">
      <c r="A2088" s="204">
        <v>38987</v>
      </c>
      <c r="B2088" s="544">
        <v>6</v>
      </c>
      <c r="C2088">
        <v>6.4</v>
      </c>
      <c r="D2088">
        <v>6.5</v>
      </c>
      <c r="E2088">
        <v>6.7</v>
      </c>
      <c r="F2088">
        <v>2.88</v>
      </c>
      <c r="G2088">
        <v>3.03</v>
      </c>
      <c r="H2088">
        <v>3.13</v>
      </c>
      <c r="I2088">
        <v>2.88</v>
      </c>
      <c r="J2088">
        <v>0.5</v>
      </c>
      <c r="K2088">
        <v>0.05</v>
      </c>
    </row>
    <row r="2089" spans="1:11" x14ac:dyDescent="0.35">
      <c r="A2089" s="204">
        <v>38994</v>
      </c>
      <c r="B2089" s="544">
        <v>6</v>
      </c>
      <c r="C2089">
        <v>6.4</v>
      </c>
      <c r="D2089">
        <v>6.5</v>
      </c>
      <c r="E2089">
        <v>6.6</v>
      </c>
      <c r="F2089">
        <v>2.88</v>
      </c>
      <c r="G2089">
        <v>3.03</v>
      </c>
      <c r="H2089">
        <v>3.13</v>
      </c>
      <c r="I2089">
        <v>2.88</v>
      </c>
      <c r="J2089">
        <v>0.5</v>
      </c>
      <c r="K2089">
        <v>0.05</v>
      </c>
    </row>
    <row r="2090" spans="1:11" x14ac:dyDescent="0.35">
      <c r="A2090" s="204">
        <v>39001</v>
      </c>
      <c r="B2090" s="544">
        <v>6</v>
      </c>
      <c r="C2090">
        <v>6.4</v>
      </c>
      <c r="D2090">
        <v>6.5</v>
      </c>
      <c r="E2090">
        <v>6.6</v>
      </c>
      <c r="F2090">
        <v>2.88</v>
      </c>
      <c r="G2090">
        <v>3.03</v>
      </c>
      <c r="H2090">
        <v>3.13</v>
      </c>
      <c r="I2090">
        <v>2.88</v>
      </c>
      <c r="J2090">
        <v>0.5</v>
      </c>
      <c r="K2090">
        <v>0.05</v>
      </c>
    </row>
    <row r="2091" spans="1:11" x14ac:dyDescent="0.35">
      <c r="A2091" s="204">
        <v>39008</v>
      </c>
      <c r="B2091" s="544">
        <v>6</v>
      </c>
      <c r="C2091">
        <v>6.4</v>
      </c>
      <c r="D2091">
        <v>6.5</v>
      </c>
      <c r="E2091">
        <v>6.6</v>
      </c>
      <c r="F2091">
        <v>2.88</v>
      </c>
      <c r="G2091">
        <v>3.03</v>
      </c>
      <c r="H2091">
        <v>3.13</v>
      </c>
      <c r="I2091">
        <v>2.88</v>
      </c>
      <c r="J2091">
        <v>0.5</v>
      </c>
      <c r="K2091">
        <v>0.05</v>
      </c>
    </row>
    <row r="2092" spans="1:11" x14ac:dyDescent="0.35">
      <c r="A2092" s="204">
        <v>39015</v>
      </c>
      <c r="B2092" s="544">
        <v>6</v>
      </c>
      <c r="C2092">
        <v>6.4</v>
      </c>
      <c r="D2092">
        <v>6.65</v>
      </c>
      <c r="E2092">
        <v>6.8</v>
      </c>
      <c r="F2092">
        <v>2.88</v>
      </c>
      <c r="G2092">
        <v>3.03</v>
      </c>
      <c r="H2092">
        <v>3.13</v>
      </c>
      <c r="I2092">
        <v>2.88</v>
      </c>
      <c r="J2092">
        <v>0.5</v>
      </c>
      <c r="K2092">
        <v>0.05</v>
      </c>
    </row>
    <row r="2093" spans="1:11" x14ac:dyDescent="0.35">
      <c r="A2093" s="204">
        <v>39022</v>
      </c>
      <c r="B2093" s="544">
        <v>6</v>
      </c>
      <c r="C2093">
        <v>6.4</v>
      </c>
      <c r="D2093">
        <v>6.55</v>
      </c>
      <c r="E2093">
        <v>6.6</v>
      </c>
      <c r="F2093">
        <v>2.88</v>
      </c>
      <c r="G2093">
        <v>3.03</v>
      </c>
      <c r="H2093">
        <v>3.13</v>
      </c>
      <c r="I2093">
        <v>2.88</v>
      </c>
      <c r="J2093">
        <v>0.5</v>
      </c>
      <c r="K2093">
        <v>0.05</v>
      </c>
    </row>
    <row r="2094" spans="1:11" x14ac:dyDescent="0.35">
      <c r="A2094" s="204">
        <v>39029</v>
      </c>
      <c r="B2094" s="544">
        <v>6</v>
      </c>
      <c r="C2094">
        <v>6.4</v>
      </c>
      <c r="D2094">
        <v>6.55</v>
      </c>
      <c r="E2094">
        <v>6.6</v>
      </c>
      <c r="F2094">
        <v>2.88</v>
      </c>
      <c r="G2094">
        <v>3.03</v>
      </c>
      <c r="H2094">
        <v>3.13</v>
      </c>
      <c r="I2094">
        <v>2.88</v>
      </c>
      <c r="J2094">
        <v>0.5</v>
      </c>
      <c r="K2094">
        <v>0.05</v>
      </c>
    </row>
    <row r="2095" spans="1:11" x14ac:dyDescent="0.35">
      <c r="A2095" s="204">
        <v>39036</v>
      </c>
      <c r="B2095" s="544">
        <v>6</v>
      </c>
      <c r="C2095">
        <v>6.4</v>
      </c>
      <c r="D2095">
        <v>6.55</v>
      </c>
      <c r="E2095">
        <v>6.6</v>
      </c>
      <c r="F2095">
        <v>2.78</v>
      </c>
      <c r="G2095">
        <v>3.03</v>
      </c>
      <c r="H2095">
        <v>3.13</v>
      </c>
      <c r="I2095">
        <v>2.88</v>
      </c>
      <c r="J2095">
        <v>0.5</v>
      </c>
      <c r="K2095">
        <v>0.05</v>
      </c>
    </row>
    <row r="2096" spans="1:11" x14ac:dyDescent="0.35">
      <c r="A2096" s="204">
        <v>39043</v>
      </c>
      <c r="B2096" s="544">
        <v>6</v>
      </c>
      <c r="C2096">
        <v>6.4</v>
      </c>
      <c r="D2096">
        <v>6.5</v>
      </c>
      <c r="E2096">
        <v>6.55</v>
      </c>
      <c r="F2096">
        <v>2.78</v>
      </c>
      <c r="G2096">
        <v>2.98</v>
      </c>
      <c r="H2096">
        <v>3.03</v>
      </c>
      <c r="I2096">
        <v>2.78</v>
      </c>
      <c r="J2096">
        <v>0.5</v>
      </c>
      <c r="K2096">
        <v>0.05</v>
      </c>
    </row>
    <row r="2097" spans="1:11" x14ac:dyDescent="0.35">
      <c r="A2097" s="204">
        <v>39050</v>
      </c>
      <c r="B2097" s="544">
        <v>6</v>
      </c>
      <c r="C2097">
        <v>6.4</v>
      </c>
      <c r="D2097">
        <v>6.5</v>
      </c>
      <c r="E2097">
        <v>6.55</v>
      </c>
      <c r="F2097">
        <v>2.78</v>
      </c>
      <c r="G2097">
        <v>2.98</v>
      </c>
      <c r="H2097">
        <v>3.03</v>
      </c>
      <c r="I2097">
        <v>2.78</v>
      </c>
      <c r="J2097">
        <v>0.5</v>
      </c>
      <c r="K2097">
        <v>0.05</v>
      </c>
    </row>
    <row r="2098" spans="1:11" x14ac:dyDescent="0.35">
      <c r="A2098" s="204">
        <v>39057</v>
      </c>
      <c r="B2098" s="544">
        <v>6</v>
      </c>
      <c r="C2098">
        <v>6.4</v>
      </c>
      <c r="D2098">
        <v>6.5</v>
      </c>
      <c r="E2098">
        <v>6.5</v>
      </c>
      <c r="F2098">
        <v>2.78</v>
      </c>
      <c r="G2098">
        <v>2.88</v>
      </c>
      <c r="H2098">
        <v>2.93</v>
      </c>
      <c r="I2098">
        <v>2.68</v>
      </c>
      <c r="J2098">
        <v>0.5</v>
      </c>
      <c r="K2098">
        <v>0.05</v>
      </c>
    </row>
    <row r="2099" spans="1:11" x14ac:dyDescent="0.35">
      <c r="A2099" s="204">
        <v>39064</v>
      </c>
      <c r="B2099" s="544">
        <v>6</v>
      </c>
      <c r="C2099">
        <v>6.3</v>
      </c>
      <c r="D2099">
        <v>6.4</v>
      </c>
      <c r="E2099">
        <v>6.45</v>
      </c>
      <c r="F2099">
        <v>2.68</v>
      </c>
      <c r="G2099">
        <v>2.88</v>
      </c>
      <c r="H2099">
        <v>2.93</v>
      </c>
      <c r="I2099">
        <v>2.68</v>
      </c>
      <c r="J2099">
        <v>0.5</v>
      </c>
      <c r="K2099">
        <v>0.05</v>
      </c>
    </row>
    <row r="2100" spans="1:11" x14ac:dyDescent="0.35">
      <c r="A2100" s="204">
        <v>39071</v>
      </c>
      <c r="B2100" s="544">
        <v>6</v>
      </c>
      <c r="C2100">
        <v>6.3</v>
      </c>
      <c r="D2100">
        <v>6.4</v>
      </c>
      <c r="E2100">
        <v>6.45</v>
      </c>
      <c r="F2100">
        <v>2.68</v>
      </c>
      <c r="G2100">
        <v>2.88</v>
      </c>
      <c r="H2100">
        <v>2.93</v>
      </c>
      <c r="I2100">
        <v>2.68</v>
      </c>
      <c r="J2100">
        <v>0.5</v>
      </c>
      <c r="K2100">
        <v>0.05</v>
      </c>
    </row>
    <row r="2101" spans="1:11" x14ac:dyDescent="0.35">
      <c r="A2101" s="204">
        <v>39078</v>
      </c>
      <c r="B2101" s="544">
        <v>6</v>
      </c>
      <c r="C2101">
        <v>6.3</v>
      </c>
      <c r="D2101">
        <v>6.4</v>
      </c>
      <c r="E2101">
        <v>6.45</v>
      </c>
      <c r="F2101">
        <v>2.68</v>
      </c>
      <c r="G2101">
        <v>2.88</v>
      </c>
      <c r="H2101">
        <v>2.93</v>
      </c>
      <c r="I2101">
        <v>2.68</v>
      </c>
      <c r="J2101">
        <v>0.5</v>
      </c>
      <c r="K2101">
        <v>0.05</v>
      </c>
    </row>
    <row r="2102" spans="1:11" x14ac:dyDescent="0.35">
      <c r="A2102" s="204">
        <v>39085</v>
      </c>
      <c r="B2102" s="544">
        <v>6</v>
      </c>
      <c r="C2102">
        <v>6.3</v>
      </c>
      <c r="D2102">
        <v>6.4</v>
      </c>
      <c r="E2102">
        <v>6.45</v>
      </c>
      <c r="F2102">
        <v>2.68</v>
      </c>
      <c r="G2102">
        <v>2.88</v>
      </c>
      <c r="H2102">
        <v>2.93</v>
      </c>
      <c r="I2102">
        <v>2.68</v>
      </c>
      <c r="J2102">
        <v>0.5</v>
      </c>
      <c r="K2102">
        <v>0.05</v>
      </c>
    </row>
    <row r="2103" spans="1:11" x14ac:dyDescent="0.35">
      <c r="A2103" s="204">
        <v>39092</v>
      </c>
      <c r="B2103" s="544">
        <v>6</v>
      </c>
      <c r="C2103">
        <v>6.3</v>
      </c>
      <c r="D2103">
        <v>6.4</v>
      </c>
      <c r="E2103">
        <v>6.45</v>
      </c>
      <c r="F2103">
        <v>2.68</v>
      </c>
      <c r="G2103">
        <v>2.88</v>
      </c>
      <c r="H2103">
        <v>2.93</v>
      </c>
      <c r="I2103">
        <v>2.68</v>
      </c>
      <c r="J2103">
        <v>0.5</v>
      </c>
      <c r="K2103">
        <v>0.05</v>
      </c>
    </row>
    <row r="2104" spans="1:11" x14ac:dyDescent="0.35">
      <c r="A2104" s="204">
        <v>39099</v>
      </c>
      <c r="B2104" s="544">
        <v>6</v>
      </c>
      <c r="C2104">
        <v>6.5</v>
      </c>
      <c r="D2104">
        <v>6.6</v>
      </c>
      <c r="E2104">
        <v>6.65</v>
      </c>
      <c r="F2104">
        <v>2.68</v>
      </c>
      <c r="G2104">
        <v>2.88</v>
      </c>
      <c r="H2104">
        <v>2.93</v>
      </c>
      <c r="I2104">
        <v>2.68</v>
      </c>
      <c r="J2104">
        <v>0.5</v>
      </c>
      <c r="K2104">
        <v>0.05</v>
      </c>
    </row>
    <row r="2105" spans="1:11" x14ac:dyDescent="0.35">
      <c r="A2105" s="204">
        <v>39106</v>
      </c>
      <c r="B2105" s="544">
        <v>6</v>
      </c>
      <c r="C2105">
        <v>6.5</v>
      </c>
      <c r="D2105">
        <v>6.6</v>
      </c>
      <c r="E2105">
        <v>6.65</v>
      </c>
      <c r="F2105">
        <v>2.68</v>
      </c>
      <c r="G2105">
        <v>2.88</v>
      </c>
      <c r="H2105">
        <v>2.93</v>
      </c>
      <c r="I2105">
        <v>2.68</v>
      </c>
      <c r="J2105">
        <v>0.5</v>
      </c>
      <c r="K2105">
        <v>0.05</v>
      </c>
    </row>
    <row r="2106" spans="1:11" x14ac:dyDescent="0.35">
      <c r="A2106" s="204">
        <v>39113</v>
      </c>
      <c r="B2106" s="544">
        <v>6</v>
      </c>
      <c r="C2106">
        <v>6.5</v>
      </c>
      <c r="D2106">
        <v>6.6</v>
      </c>
      <c r="E2106">
        <v>6.65</v>
      </c>
      <c r="F2106">
        <v>2.68</v>
      </c>
      <c r="G2106">
        <v>2.88</v>
      </c>
      <c r="H2106">
        <v>2.93</v>
      </c>
      <c r="I2106">
        <v>2.68</v>
      </c>
      <c r="J2106">
        <v>0.5</v>
      </c>
      <c r="K2106">
        <v>0.05</v>
      </c>
    </row>
    <row r="2107" spans="1:11" x14ac:dyDescent="0.35">
      <c r="A2107" s="204">
        <v>39120</v>
      </c>
      <c r="B2107" s="544">
        <v>6</v>
      </c>
      <c r="C2107">
        <v>6.5</v>
      </c>
      <c r="D2107">
        <v>6.6</v>
      </c>
      <c r="E2107">
        <v>6.65</v>
      </c>
      <c r="F2107">
        <v>2.98</v>
      </c>
      <c r="G2107">
        <v>3.13</v>
      </c>
      <c r="H2107">
        <v>3.18</v>
      </c>
      <c r="I2107">
        <v>2.93</v>
      </c>
      <c r="J2107">
        <v>0.5</v>
      </c>
      <c r="K2107">
        <v>0.05</v>
      </c>
    </row>
    <row r="2108" spans="1:11" x14ac:dyDescent="0.35">
      <c r="A2108" s="204">
        <v>39127</v>
      </c>
      <c r="B2108" s="544">
        <v>6</v>
      </c>
      <c r="C2108">
        <v>6.5</v>
      </c>
      <c r="D2108">
        <v>6.6</v>
      </c>
      <c r="E2108">
        <v>6.65</v>
      </c>
      <c r="F2108">
        <v>2.98</v>
      </c>
      <c r="G2108">
        <v>3.13</v>
      </c>
      <c r="H2108">
        <v>3.18</v>
      </c>
      <c r="I2108">
        <v>2.93</v>
      </c>
      <c r="J2108">
        <v>0.5</v>
      </c>
      <c r="K2108">
        <v>0.05</v>
      </c>
    </row>
    <row r="2109" spans="1:11" x14ac:dyDescent="0.35">
      <c r="A2109" s="204">
        <v>39134</v>
      </c>
      <c r="B2109" s="544">
        <v>6</v>
      </c>
      <c r="C2109">
        <v>6.5</v>
      </c>
      <c r="D2109">
        <v>6.6</v>
      </c>
      <c r="E2109">
        <v>6.65</v>
      </c>
      <c r="F2109">
        <v>2.98</v>
      </c>
      <c r="G2109">
        <v>3.13</v>
      </c>
      <c r="H2109">
        <v>3.18</v>
      </c>
      <c r="I2109">
        <v>2.93</v>
      </c>
      <c r="J2109">
        <v>0.5</v>
      </c>
      <c r="K2109">
        <v>0.05</v>
      </c>
    </row>
    <row r="2110" spans="1:11" x14ac:dyDescent="0.35">
      <c r="A2110" s="204">
        <v>39141</v>
      </c>
      <c r="B2110" s="544">
        <v>6</v>
      </c>
      <c r="C2110">
        <v>6.5</v>
      </c>
      <c r="D2110">
        <v>6.6</v>
      </c>
      <c r="E2110">
        <v>6.65</v>
      </c>
      <c r="F2110">
        <v>2.98</v>
      </c>
      <c r="G2110">
        <v>3.13</v>
      </c>
      <c r="H2110">
        <v>3.18</v>
      </c>
      <c r="I2110">
        <v>2.93</v>
      </c>
      <c r="J2110">
        <v>0.5</v>
      </c>
      <c r="K2110">
        <v>0.05</v>
      </c>
    </row>
    <row r="2111" spans="1:11" x14ac:dyDescent="0.35">
      <c r="A2111" s="204">
        <v>39148</v>
      </c>
      <c r="B2111" s="544">
        <v>6</v>
      </c>
      <c r="C2111">
        <v>6.4</v>
      </c>
      <c r="D2111">
        <v>6.5</v>
      </c>
      <c r="E2111">
        <v>6.49</v>
      </c>
      <c r="F2111">
        <v>2.83</v>
      </c>
      <c r="G2111">
        <v>2.93</v>
      </c>
      <c r="H2111">
        <v>2.98</v>
      </c>
      <c r="I2111">
        <v>2.73</v>
      </c>
      <c r="J2111">
        <v>0.5</v>
      </c>
      <c r="K2111">
        <v>0.05</v>
      </c>
    </row>
    <row r="2112" spans="1:11" x14ac:dyDescent="0.35">
      <c r="A2112" s="204">
        <v>39155</v>
      </c>
      <c r="B2112" s="544">
        <v>6</v>
      </c>
      <c r="C2112">
        <v>6.4</v>
      </c>
      <c r="D2112">
        <v>6.5</v>
      </c>
      <c r="E2112">
        <v>6.49</v>
      </c>
      <c r="F2112">
        <v>2.83</v>
      </c>
      <c r="G2112">
        <v>2.93</v>
      </c>
      <c r="H2112">
        <v>2.98</v>
      </c>
      <c r="I2112">
        <v>2.73</v>
      </c>
      <c r="J2112">
        <v>0.5</v>
      </c>
      <c r="K2112">
        <v>0.05</v>
      </c>
    </row>
    <row r="2113" spans="1:11" x14ac:dyDescent="0.35">
      <c r="A2113" s="204">
        <v>39162</v>
      </c>
      <c r="B2113" s="544">
        <v>6</v>
      </c>
      <c r="C2113">
        <v>6.4</v>
      </c>
      <c r="D2113">
        <v>6.5</v>
      </c>
      <c r="E2113">
        <v>6.49</v>
      </c>
      <c r="F2113">
        <v>2.83</v>
      </c>
      <c r="G2113">
        <v>2.93</v>
      </c>
      <c r="H2113">
        <v>2.98</v>
      </c>
      <c r="I2113">
        <v>2.73</v>
      </c>
      <c r="J2113">
        <v>0.5</v>
      </c>
      <c r="K2113">
        <v>0.05</v>
      </c>
    </row>
    <row r="2114" spans="1:11" x14ac:dyDescent="0.35">
      <c r="A2114" s="204">
        <v>39169</v>
      </c>
      <c r="B2114" s="544">
        <v>6</v>
      </c>
      <c r="C2114">
        <v>6.4</v>
      </c>
      <c r="D2114">
        <v>6.5</v>
      </c>
      <c r="E2114">
        <v>6.49</v>
      </c>
      <c r="F2114">
        <v>2.83</v>
      </c>
      <c r="G2114">
        <v>2.93</v>
      </c>
      <c r="H2114">
        <v>2.98</v>
      </c>
      <c r="I2114">
        <v>2.73</v>
      </c>
      <c r="J2114">
        <v>0.5</v>
      </c>
      <c r="K2114">
        <v>0.05</v>
      </c>
    </row>
    <row r="2115" spans="1:11" x14ac:dyDescent="0.35">
      <c r="A2115" s="204">
        <v>39176</v>
      </c>
      <c r="B2115" s="544">
        <v>6</v>
      </c>
      <c r="C2115">
        <v>6.4</v>
      </c>
      <c r="D2115">
        <v>6.5</v>
      </c>
      <c r="E2115">
        <v>6.44</v>
      </c>
      <c r="F2115">
        <v>2.83</v>
      </c>
      <c r="G2115">
        <v>2.93</v>
      </c>
      <c r="H2115">
        <v>2.98</v>
      </c>
      <c r="I2115">
        <v>2.73</v>
      </c>
      <c r="J2115">
        <v>0.5</v>
      </c>
      <c r="K2115">
        <v>0.05</v>
      </c>
    </row>
    <row r="2116" spans="1:11" x14ac:dyDescent="0.35">
      <c r="A2116" s="204">
        <v>39183</v>
      </c>
      <c r="B2116" s="544">
        <v>6</v>
      </c>
      <c r="C2116">
        <v>6.6</v>
      </c>
      <c r="D2116">
        <v>6.7</v>
      </c>
      <c r="E2116">
        <v>6.64</v>
      </c>
      <c r="F2116">
        <v>2.83</v>
      </c>
      <c r="G2116">
        <v>2.93</v>
      </c>
      <c r="H2116">
        <v>2.98</v>
      </c>
      <c r="I2116">
        <v>2.73</v>
      </c>
      <c r="J2116">
        <v>0.5</v>
      </c>
      <c r="K2116">
        <v>0.05</v>
      </c>
    </row>
    <row r="2117" spans="1:11" x14ac:dyDescent="0.35">
      <c r="A2117" s="204">
        <v>39190</v>
      </c>
      <c r="B2117" s="544">
        <v>6</v>
      </c>
      <c r="C2117">
        <v>6.6</v>
      </c>
      <c r="D2117">
        <v>6.7</v>
      </c>
      <c r="E2117">
        <v>6.64</v>
      </c>
      <c r="F2117">
        <v>2.83</v>
      </c>
      <c r="G2117">
        <v>2.93</v>
      </c>
      <c r="H2117">
        <v>2.98</v>
      </c>
      <c r="I2117">
        <v>2.73</v>
      </c>
      <c r="J2117">
        <v>0.5</v>
      </c>
      <c r="K2117">
        <v>0.05</v>
      </c>
    </row>
    <row r="2118" spans="1:11" x14ac:dyDescent="0.35">
      <c r="A2118" s="204">
        <v>39197</v>
      </c>
      <c r="B2118" s="544">
        <v>6</v>
      </c>
      <c r="C2118">
        <v>6.6</v>
      </c>
      <c r="D2118">
        <v>6.7</v>
      </c>
      <c r="E2118">
        <v>6.64</v>
      </c>
      <c r="F2118">
        <v>2.83</v>
      </c>
      <c r="G2118">
        <v>2.93</v>
      </c>
      <c r="H2118">
        <v>2.98</v>
      </c>
      <c r="I2118">
        <v>2.73</v>
      </c>
      <c r="J2118">
        <v>0.5</v>
      </c>
      <c r="K2118">
        <v>0.05</v>
      </c>
    </row>
    <row r="2119" spans="1:11" x14ac:dyDescent="0.35">
      <c r="A2119" s="204">
        <v>39204</v>
      </c>
      <c r="B2119" s="544">
        <v>6</v>
      </c>
      <c r="C2119">
        <v>6.6</v>
      </c>
      <c r="D2119">
        <v>6.7</v>
      </c>
      <c r="E2119">
        <v>6.64</v>
      </c>
      <c r="F2119">
        <v>2.83</v>
      </c>
      <c r="G2119">
        <v>2.93</v>
      </c>
      <c r="H2119">
        <v>2.98</v>
      </c>
      <c r="I2119">
        <v>2.73</v>
      </c>
      <c r="J2119">
        <v>0.5</v>
      </c>
      <c r="K2119">
        <v>0.1</v>
      </c>
    </row>
    <row r="2120" spans="1:11" x14ac:dyDescent="0.35">
      <c r="A2120" s="204">
        <v>39211</v>
      </c>
      <c r="B2120" s="544">
        <v>6</v>
      </c>
      <c r="C2120">
        <v>6.6</v>
      </c>
      <c r="D2120">
        <v>6.7</v>
      </c>
      <c r="E2120">
        <v>6.64</v>
      </c>
      <c r="F2120">
        <v>2.83</v>
      </c>
      <c r="G2120">
        <v>2.93</v>
      </c>
      <c r="H2120">
        <v>2.98</v>
      </c>
      <c r="I2120">
        <v>2.73</v>
      </c>
      <c r="J2120">
        <v>0.5</v>
      </c>
      <c r="K2120">
        <v>0.1</v>
      </c>
    </row>
    <row r="2121" spans="1:11" x14ac:dyDescent="0.35">
      <c r="A2121" s="204">
        <v>39218</v>
      </c>
      <c r="B2121" s="544">
        <v>6</v>
      </c>
      <c r="C2121">
        <v>6.6</v>
      </c>
      <c r="D2121">
        <v>6.7</v>
      </c>
      <c r="E2121">
        <v>6.64</v>
      </c>
      <c r="F2121">
        <v>2.93</v>
      </c>
      <c r="G2121">
        <v>3.03</v>
      </c>
      <c r="H2121">
        <v>3.08</v>
      </c>
      <c r="I2121">
        <v>2.83</v>
      </c>
      <c r="J2121">
        <v>0.5</v>
      </c>
      <c r="K2121">
        <v>0.1</v>
      </c>
    </row>
    <row r="2122" spans="1:11" x14ac:dyDescent="0.35">
      <c r="A2122" s="204">
        <v>39225</v>
      </c>
      <c r="B2122" s="544">
        <v>6</v>
      </c>
      <c r="C2122">
        <v>6.75</v>
      </c>
      <c r="D2122">
        <v>6.95</v>
      </c>
      <c r="E2122">
        <v>6.84</v>
      </c>
      <c r="F2122">
        <v>2.93</v>
      </c>
      <c r="G2122">
        <v>3.03</v>
      </c>
      <c r="H2122">
        <v>3.08</v>
      </c>
      <c r="I2122">
        <v>2.83</v>
      </c>
      <c r="J2122">
        <v>0.5</v>
      </c>
      <c r="K2122">
        <v>0.1</v>
      </c>
    </row>
    <row r="2123" spans="1:11" x14ac:dyDescent="0.35">
      <c r="A2123" s="204">
        <v>39232</v>
      </c>
      <c r="B2123" s="544">
        <v>6</v>
      </c>
      <c r="C2123">
        <v>6.85</v>
      </c>
      <c r="D2123">
        <v>7.2</v>
      </c>
      <c r="E2123">
        <v>7.14</v>
      </c>
      <c r="F2123">
        <v>2.98</v>
      </c>
      <c r="G2123">
        <v>3.13</v>
      </c>
      <c r="H2123">
        <v>3.38</v>
      </c>
      <c r="I2123">
        <v>3.13</v>
      </c>
      <c r="J2123">
        <v>0.5</v>
      </c>
      <c r="K2123">
        <v>0.1</v>
      </c>
    </row>
    <row r="2124" spans="1:11" x14ac:dyDescent="0.35">
      <c r="A2124" s="204">
        <v>39239</v>
      </c>
      <c r="B2124" s="544">
        <v>6</v>
      </c>
      <c r="C2124">
        <v>6.85</v>
      </c>
      <c r="D2124">
        <v>7.2</v>
      </c>
      <c r="E2124">
        <v>7.14</v>
      </c>
      <c r="F2124">
        <v>2.98</v>
      </c>
      <c r="G2124">
        <v>3.13</v>
      </c>
      <c r="H2124">
        <v>3.38</v>
      </c>
      <c r="I2124">
        <v>3.13</v>
      </c>
      <c r="J2124">
        <v>0.5</v>
      </c>
      <c r="K2124">
        <v>0.1</v>
      </c>
    </row>
    <row r="2125" spans="1:11" x14ac:dyDescent="0.35">
      <c r="A2125" s="204">
        <v>39246</v>
      </c>
      <c r="B2125" s="544">
        <v>6</v>
      </c>
      <c r="C2125">
        <v>7</v>
      </c>
      <c r="D2125">
        <v>7.35</v>
      </c>
      <c r="E2125">
        <v>7.29</v>
      </c>
      <c r="F2125">
        <v>3.13</v>
      </c>
      <c r="G2125">
        <v>3.33</v>
      </c>
      <c r="H2125">
        <v>3.58</v>
      </c>
      <c r="I2125">
        <v>3.45</v>
      </c>
      <c r="J2125">
        <v>0.5</v>
      </c>
      <c r="K2125">
        <v>0.1</v>
      </c>
    </row>
    <row r="2126" spans="1:11" x14ac:dyDescent="0.35">
      <c r="A2126" s="204">
        <v>39253</v>
      </c>
      <c r="B2126" s="544">
        <v>6</v>
      </c>
      <c r="C2126">
        <v>7.05</v>
      </c>
      <c r="D2126">
        <v>7.3</v>
      </c>
      <c r="E2126">
        <v>7.24</v>
      </c>
      <c r="F2126">
        <v>3.13</v>
      </c>
      <c r="G2126">
        <v>3.33</v>
      </c>
      <c r="H2126">
        <v>3.58</v>
      </c>
      <c r="I2126">
        <v>3.45</v>
      </c>
      <c r="J2126">
        <v>0.5</v>
      </c>
      <c r="K2126">
        <v>0.1</v>
      </c>
    </row>
    <row r="2127" spans="1:11" x14ac:dyDescent="0.35">
      <c r="A2127" s="204">
        <v>39260</v>
      </c>
      <c r="B2127" s="544">
        <v>6</v>
      </c>
      <c r="C2127">
        <v>7.05</v>
      </c>
      <c r="D2127">
        <v>7.3</v>
      </c>
      <c r="E2127">
        <v>7.24</v>
      </c>
      <c r="F2127">
        <v>3.13</v>
      </c>
      <c r="G2127">
        <v>3.33</v>
      </c>
      <c r="H2127">
        <v>3.58</v>
      </c>
      <c r="I2127">
        <v>3.45</v>
      </c>
      <c r="J2127">
        <v>0.5</v>
      </c>
      <c r="K2127">
        <v>0.1</v>
      </c>
    </row>
    <row r="2128" spans="1:11" x14ac:dyDescent="0.35">
      <c r="A2128" s="204">
        <v>39267</v>
      </c>
      <c r="B2128" s="544">
        <v>6</v>
      </c>
      <c r="C2128">
        <v>7.05</v>
      </c>
      <c r="D2128">
        <v>7.3</v>
      </c>
      <c r="E2128">
        <v>7.24</v>
      </c>
      <c r="F2128">
        <v>3.13</v>
      </c>
      <c r="G2128">
        <v>3.33</v>
      </c>
      <c r="H2128">
        <v>3.58</v>
      </c>
      <c r="I2128">
        <v>3.45</v>
      </c>
      <c r="J2128">
        <v>0.5</v>
      </c>
      <c r="K2128">
        <v>0.1</v>
      </c>
    </row>
    <row r="2129" spans="1:11" x14ac:dyDescent="0.35">
      <c r="A2129" s="204">
        <v>39274</v>
      </c>
      <c r="B2129" s="544">
        <v>6.25</v>
      </c>
      <c r="C2129">
        <v>7.05</v>
      </c>
      <c r="D2129">
        <v>7.3</v>
      </c>
      <c r="E2129">
        <v>7.24</v>
      </c>
      <c r="F2129">
        <v>3.28</v>
      </c>
      <c r="G2129">
        <v>3.48</v>
      </c>
      <c r="H2129">
        <v>3.73</v>
      </c>
      <c r="I2129">
        <v>3.6</v>
      </c>
      <c r="J2129">
        <v>0.5</v>
      </c>
      <c r="K2129">
        <v>0.1</v>
      </c>
    </row>
    <row r="2130" spans="1:11" x14ac:dyDescent="0.35">
      <c r="A2130" s="204">
        <v>39281</v>
      </c>
      <c r="B2130" s="544">
        <v>6.25</v>
      </c>
      <c r="C2130">
        <v>7.05</v>
      </c>
      <c r="D2130">
        <v>7.3</v>
      </c>
      <c r="E2130">
        <v>7.24</v>
      </c>
      <c r="F2130">
        <v>3.28</v>
      </c>
      <c r="G2130">
        <v>3.48</v>
      </c>
      <c r="H2130">
        <v>3.73</v>
      </c>
      <c r="I2130">
        <v>3.6</v>
      </c>
      <c r="J2130">
        <v>0.5</v>
      </c>
      <c r="K2130">
        <v>0.1</v>
      </c>
    </row>
    <row r="2131" spans="1:11" x14ac:dyDescent="0.35">
      <c r="A2131" s="204">
        <v>39288</v>
      </c>
      <c r="B2131" s="544">
        <v>6.25</v>
      </c>
      <c r="C2131">
        <v>7.05</v>
      </c>
      <c r="D2131">
        <v>7.3</v>
      </c>
      <c r="E2131">
        <v>7.24</v>
      </c>
      <c r="F2131">
        <v>3.28</v>
      </c>
      <c r="G2131">
        <v>3.48</v>
      </c>
      <c r="H2131">
        <v>3.73</v>
      </c>
      <c r="I2131">
        <v>3.6</v>
      </c>
      <c r="J2131">
        <v>0.5</v>
      </c>
      <c r="K2131">
        <v>0.1</v>
      </c>
    </row>
    <row r="2132" spans="1:11" x14ac:dyDescent="0.35">
      <c r="A2132" s="204">
        <v>39295</v>
      </c>
      <c r="B2132" s="544">
        <v>6.25</v>
      </c>
      <c r="C2132">
        <v>7.05</v>
      </c>
      <c r="D2132">
        <v>7.3</v>
      </c>
      <c r="E2132">
        <v>7.24</v>
      </c>
      <c r="F2132">
        <v>3.28</v>
      </c>
      <c r="G2132">
        <v>3.48</v>
      </c>
      <c r="H2132">
        <v>3.73</v>
      </c>
      <c r="I2132">
        <v>3.6</v>
      </c>
      <c r="J2132">
        <v>0.5</v>
      </c>
      <c r="K2132">
        <v>0.1</v>
      </c>
    </row>
    <row r="2133" spans="1:11" x14ac:dyDescent="0.35">
      <c r="A2133" s="204">
        <v>39302</v>
      </c>
      <c r="B2133" s="544">
        <v>6.25</v>
      </c>
      <c r="C2133">
        <v>7.05</v>
      </c>
      <c r="D2133">
        <v>7.3</v>
      </c>
      <c r="E2133">
        <v>7.24</v>
      </c>
      <c r="F2133">
        <v>3.28</v>
      </c>
      <c r="G2133">
        <v>3.48</v>
      </c>
      <c r="H2133">
        <v>3.73</v>
      </c>
      <c r="I2133">
        <v>3.6</v>
      </c>
      <c r="J2133">
        <v>0.5</v>
      </c>
      <c r="K2133">
        <v>0.1</v>
      </c>
    </row>
    <row r="2134" spans="1:11" x14ac:dyDescent="0.35">
      <c r="A2134" s="204">
        <v>39309</v>
      </c>
      <c r="B2134" s="544">
        <v>6.25</v>
      </c>
      <c r="C2134">
        <v>7.05</v>
      </c>
      <c r="D2134">
        <v>7.3</v>
      </c>
      <c r="E2134">
        <v>7.24</v>
      </c>
      <c r="F2134">
        <v>3.28</v>
      </c>
      <c r="G2134">
        <v>3.48</v>
      </c>
      <c r="H2134">
        <v>3.73</v>
      </c>
      <c r="I2134">
        <v>3.6</v>
      </c>
      <c r="J2134">
        <v>0.5</v>
      </c>
      <c r="K2134">
        <v>0.1</v>
      </c>
    </row>
    <row r="2135" spans="1:11" x14ac:dyDescent="0.35">
      <c r="A2135" s="204">
        <v>39316</v>
      </c>
      <c r="B2135" s="544">
        <v>6.25</v>
      </c>
      <c r="C2135">
        <v>7.05</v>
      </c>
      <c r="D2135">
        <v>7.3</v>
      </c>
      <c r="E2135">
        <v>7.24</v>
      </c>
      <c r="F2135">
        <v>3.18</v>
      </c>
      <c r="G2135">
        <v>3.38</v>
      </c>
      <c r="H2135">
        <v>3.58</v>
      </c>
      <c r="I2135">
        <v>3.35</v>
      </c>
      <c r="J2135">
        <v>0.5</v>
      </c>
      <c r="K2135">
        <v>0.1</v>
      </c>
    </row>
    <row r="2136" spans="1:11" x14ac:dyDescent="0.35">
      <c r="A2136" s="204">
        <v>39323</v>
      </c>
      <c r="B2136" s="544">
        <v>6.25</v>
      </c>
      <c r="C2136">
        <v>7.05</v>
      </c>
      <c r="D2136">
        <v>7.3</v>
      </c>
      <c r="E2136">
        <v>7.24</v>
      </c>
      <c r="F2136">
        <v>3.08</v>
      </c>
      <c r="G2136">
        <v>3.28</v>
      </c>
      <c r="H2136">
        <v>3.48</v>
      </c>
      <c r="I2136">
        <v>3.23</v>
      </c>
      <c r="J2136">
        <v>0.5</v>
      </c>
      <c r="K2136">
        <v>0.1</v>
      </c>
    </row>
    <row r="2137" spans="1:11" x14ac:dyDescent="0.35">
      <c r="A2137" s="204">
        <v>39330</v>
      </c>
      <c r="B2137" s="544">
        <v>6.25</v>
      </c>
      <c r="C2137">
        <v>7.05</v>
      </c>
      <c r="D2137">
        <v>7.3</v>
      </c>
      <c r="E2137">
        <v>7.24</v>
      </c>
      <c r="F2137">
        <v>3.08</v>
      </c>
      <c r="G2137">
        <v>3.28</v>
      </c>
      <c r="H2137">
        <v>3.48</v>
      </c>
      <c r="I2137">
        <v>3.23</v>
      </c>
      <c r="J2137">
        <v>0.5</v>
      </c>
      <c r="K2137">
        <v>0.1</v>
      </c>
    </row>
    <row r="2138" spans="1:11" x14ac:dyDescent="0.35">
      <c r="A2138" s="204">
        <v>39337</v>
      </c>
      <c r="B2138" s="544">
        <v>6.25</v>
      </c>
      <c r="C2138">
        <v>7.05</v>
      </c>
      <c r="D2138">
        <v>7.3</v>
      </c>
      <c r="E2138">
        <v>7.24</v>
      </c>
      <c r="F2138">
        <v>3.08</v>
      </c>
      <c r="G2138">
        <v>3.28</v>
      </c>
      <c r="H2138">
        <v>3.48</v>
      </c>
      <c r="I2138">
        <v>3.35</v>
      </c>
      <c r="J2138">
        <v>0.5</v>
      </c>
      <c r="K2138">
        <v>0.1</v>
      </c>
    </row>
    <row r="2139" spans="1:11" x14ac:dyDescent="0.35">
      <c r="A2139" s="204">
        <v>39344</v>
      </c>
      <c r="B2139" s="544">
        <v>6.25</v>
      </c>
      <c r="C2139">
        <v>7.05</v>
      </c>
      <c r="D2139">
        <v>7.3</v>
      </c>
      <c r="E2139">
        <v>7.19</v>
      </c>
      <c r="F2139">
        <v>3.08</v>
      </c>
      <c r="G2139">
        <v>3.28</v>
      </c>
      <c r="H2139">
        <v>3.48</v>
      </c>
      <c r="I2139">
        <v>3.23</v>
      </c>
      <c r="J2139">
        <v>0.5</v>
      </c>
      <c r="K2139">
        <v>0.1</v>
      </c>
    </row>
    <row r="2140" spans="1:11" x14ac:dyDescent="0.35">
      <c r="A2140" s="204">
        <v>39351</v>
      </c>
      <c r="B2140" s="544">
        <v>6.25</v>
      </c>
      <c r="C2140">
        <v>7.05</v>
      </c>
      <c r="D2140">
        <v>7.3</v>
      </c>
      <c r="E2140">
        <v>7.19</v>
      </c>
      <c r="F2140">
        <v>3.13</v>
      </c>
      <c r="G2140">
        <v>3.28</v>
      </c>
      <c r="H2140">
        <v>3.48</v>
      </c>
      <c r="I2140">
        <v>3.23</v>
      </c>
      <c r="J2140">
        <v>0.5</v>
      </c>
      <c r="K2140">
        <v>0.1</v>
      </c>
    </row>
    <row r="2141" spans="1:11" x14ac:dyDescent="0.35">
      <c r="A2141" s="204">
        <v>39358</v>
      </c>
      <c r="B2141" s="544">
        <v>6.25</v>
      </c>
      <c r="C2141">
        <v>7.05</v>
      </c>
      <c r="D2141">
        <v>7.3</v>
      </c>
      <c r="E2141">
        <v>7.19</v>
      </c>
      <c r="F2141">
        <v>3.13</v>
      </c>
      <c r="G2141">
        <v>3.28</v>
      </c>
      <c r="H2141">
        <v>3.48</v>
      </c>
      <c r="I2141">
        <v>3.23</v>
      </c>
      <c r="J2141">
        <v>0.5</v>
      </c>
      <c r="K2141">
        <v>0.1</v>
      </c>
    </row>
    <row r="2142" spans="1:11" x14ac:dyDescent="0.35">
      <c r="A2142" s="204">
        <v>39365</v>
      </c>
      <c r="B2142" s="544">
        <v>6.25</v>
      </c>
      <c r="C2142">
        <v>7.05</v>
      </c>
      <c r="D2142">
        <v>7.3</v>
      </c>
      <c r="E2142">
        <v>7.19</v>
      </c>
      <c r="F2142">
        <v>3.13</v>
      </c>
      <c r="G2142">
        <v>3.28</v>
      </c>
      <c r="H2142">
        <v>3.48</v>
      </c>
      <c r="I2142">
        <v>3.23</v>
      </c>
      <c r="J2142">
        <v>0.5</v>
      </c>
      <c r="K2142">
        <v>0.1</v>
      </c>
    </row>
    <row r="2143" spans="1:11" x14ac:dyDescent="0.35">
      <c r="A2143" s="204">
        <v>39372</v>
      </c>
      <c r="B2143" s="544">
        <v>6.25</v>
      </c>
      <c r="C2143">
        <v>7.25</v>
      </c>
      <c r="D2143">
        <v>7.4</v>
      </c>
      <c r="E2143">
        <v>7.44</v>
      </c>
      <c r="F2143">
        <v>3.13</v>
      </c>
      <c r="G2143">
        <v>3.28</v>
      </c>
      <c r="H2143">
        <v>3.48</v>
      </c>
      <c r="I2143">
        <v>3.23</v>
      </c>
      <c r="J2143">
        <v>0.5</v>
      </c>
      <c r="K2143">
        <v>0.1</v>
      </c>
    </row>
    <row r="2144" spans="1:11" x14ac:dyDescent="0.35">
      <c r="A2144" s="204">
        <v>39379</v>
      </c>
      <c r="B2144" s="544">
        <v>6.25</v>
      </c>
      <c r="C2144">
        <v>7.25</v>
      </c>
      <c r="D2144">
        <v>7.4</v>
      </c>
      <c r="E2144">
        <v>7.44</v>
      </c>
      <c r="F2144">
        <v>3.13</v>
      </c>
      <c r="G2144">
        <v>3.28</v>
      </c>
      <c r="H2144">
        <v>3.48</v>
      </c>
      <c r="I2144">
        <v>3.23</v>
      </c>
      <c r="J2144">
        <v>0.5</v>
      </c>
      <c r="K2144">
        <v>0.1</v>
      </c>
    </row>
    <row r="2145" spans="1:11" x14ac:dyDescent="0.35">
      <c r="A2145" s="204">
        <v>39386</v>
      </c>
      <c r="B2145" s="544">
        <v>6.25</v>
      </c>
      <c r="C2145">
        <v>7.25</v>
      </c>
      <c r="D2145">
        <v>7.4</v>
      </c>
      <c r="E2145">
        <v>7.44</v>
      </c>
      <c r="F2145">
        <v>3.13</v>
      </c>
      <c r="G2145">
        <v>3.28</v>
      </c>
      <c r="H2145">
        <v>3.48</v>
      </c>
      <c r="I2145">
        <v>3.23</v>
      </c>
      <c r="J2145">
        <v>0.5</v>
      </c>
      <c r="K2145">
        <v>0.1</v>
      </c>
    </row>
    <row r="2146" spans="1:11" x14ac:dyDescent="0.35">
      <c r="A2146" s="204">
        <v>39393</v>
      </c>
      <c r="B2146" s="544">
        <v>6.25</v>
      </c>
      <c r="C2146">
        <v>7.25</v>
      </c>
      <c r="D2146">
        <v>7.4</v>
      </c>
      <c r="E2146">
        <v>7.44</v>
      </c>
      <c r="F2146">
        <v>3.13</v>
      </c>
      <c r="G2146">
        <v>3.28</v>
      </c>
      <c r="H2146">
        <v>3.48</v>
      </c>
      <c r="I2146">
        <v>3.23</v>
      </c>
      <c r="J2146">
        <v>0.5</v>
      </c>
      <c r="K2146">
        <v>0.1</v>
      </c>
    </row>
    <row r="2147" spans="1:11" x14ac:dyDescent="0.35">
      <c r="A2147" s="204">
        <v>39400</v>
      </c>
      <c r="B2147" s="544">
        <v>6.25</v>
      </c>
      <c r="C2147">
        <v>7.2</v>
      </c>
      <c r="D2147">
        <v>7.35</v>
      </c>
      <c r="E2147">
        <v>7.39</v>
      </c>
      <c r="F2147">
        <v>3.13</v>
      </c>
      <c r="G2147">
        <v>3.28</v>
      </c>
      <c r="H2147">
        <v>3.48</v>
      </c>
      <c r="I2147">
        <v>3.23</v>
      </c>
      <c r="J2147">
        <v>0.5</v>
      </c>
      <c r="K2147">
        <v>0.1</v>
      </c>
    </row>
    <row r="2148" spans="1:11" x14ac:dyDescent="0.35">
      <c r="A2148" s="204">
        <v>39407</v>
      </c>
      <c r="B2148" s="544">
        <v>6.25</v>
      </c>
      <c r="C2148">
        <v>7.2</v>
      </c>
      <c r="D2148">
        <v>7.35</v>
      </c>
      <c r="E2148">
        <v>7.39</v>
      </c>
      <c r="F2148">
        <v>2.98</v>
      </c>
      <c r="G2148">
        <v>3.28</v>
      </c>
      <c r="H2148">
        <v>3.48</v>
      </c>
      <c r="I2148">
        <v>3.23</v>
      </c>
      <c r="J2148">
        <v>0.5</v>
      </c>
      <c r="K2148">
        <v>0.1</v>
      </c>
    </row>
    <row r="2149" spans="1:11" x14ac:dyDescent="0.35">
      <c r="A2149" s="204">
        <v>39414</v>
      </c>
      <c r="B2149" s="544">
        <v>6.25</v>
      </c>
      <c r="C2149">
        <v>7.2</v>
      </c>
      <c r="D2149">
        <v>7.35</v>
      </c>
      <c r="E2149">
        <v>7.39</v>
      </c>
      <c r="F2149">
        <v>2.88</v>
      </c>
      <c r="G2149">
        <v>3.03</v>
      </c>
      <c r="H2149">
        <v>3.23</v>
      </c>
      <c r="I2149">
        <v>2.98</v>
      </c>
      <c r="J2149">
        <v>0.5</v>
      </c>
      <c r="K2149">
        <v>0.1</v>
      </c>
    </row>
    <row r="2150" spans="1:11" x14ac:dyDescent="0.35">
      <c r="A2150" s="204">
        <v>39421</v>
      </c>
      <c r="B2150" s="544">
        <v>6</v>
      </c>
      <c r="C2150">
        <v>7.2</v>
      </c>
      <c r="D2150">
        <v>7.35</v>
      </c>
      <c r="E2150">
        <v>7.39</v>
      </c>
      <c r="F2150">
        <v>2.88</v>
      </c>
      <c r="G2150">
        <v>3.03</v>
      </c>
      <c r="H2150">
        <v>3.23</v>
      </c>
      <c r="I2150">
        <v>3.1</v>
      </c>
      <c r="J2150">
        <v>0.5</v>
      </c>
      <c r="K2150">
        <v>0.1</v>
      </c>
    </row>
    <row r="2151" spans="1:11" x14ac:dyDescent="0.35">
      <c r="A2151" s="204">
        <v>39428</v>
      </c>
      <c r="B2151" s="544">
        <v>6</v>
      </c>
      <c r="C2151">
        <v>7.2</v>
      </c>
      <c r="D2151">
        <v>7.35</v>
      </c>
      <c r="E2151">
        <v>7.39</v>
      </c>
      <c r="F2151">
        <v>2.73</v>
      </c>
      <c r="G2151">
        <v>2.88</v>
      </c>
      <c r="H2151">
        <v>3.13</v>
      </c>
      <c r="I2151">
        <v>3.1</v>
      </c>
      <c r="J2151">
        <v>0.5</v>
      </c>
      <c r="K2151">
        <v>0.1</v>
      </c>
    </row>
    <row r="2152" spans="1:11" x14ac:dyDescent="0.35">
      <c r="A2152" s="204">
        <v>39435</v>
      </c>
      <c r="B2152" s="544">
        <v>6</v>
      </c>
      <c r="C2152">
        <v>7.2</v>
      </c>
      <c r="D2152">
        <v>7.35</v>
      </c>
      <c r="E2152">
        <v>7.39</v>
      </c>
      <c r="F2152">
        <v>2.73</v>
      </c>
      <c r="G2152">
        <v>3.03</v>
      </c>
      <c r="H2152">
        <v>3.13</v>
      </c>
      <c r="I2152">
        <v>3.1</v>
      </c>
      <c r="J2152">
        <v>0.5</v>
      </c>
      <c r="K2152">
        <v>0.1</v>
      </c>
    </row>
    <row r="2153" spans="1:11" x14ac:dyDescent="0.35">
      <c r="A2153" s="204">
        <v>39442</v>
      </c>
      <c r="B2153" s="544">
        <v>6</v>
      </c>
      <c r="C2153">
        <v>7.35</v>
      </c>
      <c r="D2153">
        <v>7.55</v>
      </c>
      <c r="E2153">
        <v>7.54</v>
      </c>
      <c r="F2153">
        <v>2.88</v>
      </c>
      <c r="G2153">
        <v>3.03</v>
      </c>
      <c r="H2153">
        <v>3.23</v>
      </c>
      <c r="I2153">
        <v>3.1</v>
      </c>
      <c r="J2153">
        <v>0.5</v>
      </c>
      <c r="K2153">
        <v>0.1</v>
      </c>
    </row>
    <row r="2154" spans="1:11" x14ac:dyDescent="0.35">
      <c r="A2154" s="204">
        <v>39449</v>
      </c>
      <c r="B2154" s="544">
        <v>6</v>
      </c>
      <c r="C2154">
        <v>7.35</v>
      </c>
      <c r="D2154">
        <v>7.55</v>
      </c>
      <c r="E2154">
        <v>7.54</v>
      </c>
      <c r="F2154">
        <v>2.88</v>
      </c>
      <c r="G2154">
        <v>3.03</v>
      </c>
      <c r="H2154">
        <v>3.23</v>
      </c>
      <c r="I2154">
        <v>3.1</v>
      </c>
      <c r="J2154">
        <v>0.5</v>
      </c>
      <c r="K2154">
        <v>0.1</v>
      </c>
    </row>
    <row r="2155" spans="1:11" x14ac:dyDescent="0.35">
      <c r="A2155" s="204">
        <v>39456</v>
      </c>
      <c r="B2155" s="544">
        <v>6</v>
      </c>
      <c r="C2155">
        <v>7.35</v>
      </c>
      <c r="D2155">
        <v>7.55</v>
      </c>
      <c r="E2155">
        <v>7.54</v>
      </c>
      <c r="F2155">
        <v>2.88</v>
      </c>
      <c r="G2155">
        <v>3.03</v>
      </c>
      <c r="H2155">
        <v>3.23</v>
      </c>
      <c r="I2155">
        <v>3.1</v>
      </c>
      <c r="J2155">
        <v>0.5</v>
      </c>
      <c r="K2155">
        <v>0.1</v>
      </c>
    </row>
    <row r="2156" spans="1:11" x14ac:dyDescent="0.35">
      <c r="A2156" s="204">
        <v>39463</v>
      </c>
      <c r="B2156" s="544">
        <v>6</v>
      </c>
      <c r="C2156">
        <v>7.35</v>
      </c>
      <c r="D2156">
        <v>7.5</v>
      </c>
      <c r="E2156">
        <v>7.49</v>
      </c>
      <c r="F2156">
        <v>2.88</v>
      </c>
      <c r="G2156">
        <v>3.03</v>
      </c>
      <c r="H2156">
        <v>3.23</v>
      </c>
      <c r="I2156">
        <v>3.1</v>
      </c>
      <c r="J2156">
        <v>0.5</v>
      </c>
      <c r="K2156">
        <v>0.1</v>
      </c>
    </row>
    <row r="2157" spans="1:11" x14ac:dyDescent="0.35">
      <c r="A2157" s="204">
        <v>39470</v>
      </c>
      <c r="B2157" s="544">
        <v>5.75</v>
      </c>
      <c r="C2157">
        <v>7.35</v>
      </c>
      <c r="D2157">
        <v>7.5</v>
      </c>
      <c r="E2157">
        <v>7.49</v>
      </c>
      <c r="F2157">
        <v>2.58</v>
      </c>
      <c r="G2157">
        <v>3.03</v>
      </c>
      <c r="H2157">
        <v>3.23</v>
      </c>
      <c r="I2157">
        <v>2.88</v>
      </c>
      <c r="J2157">
        <v>0.5</v>
      </c>
      <c r="K2157">
        <v>0.1</v>
      </c>
    </row>
    <row r="2158" spans="1:11" x14ac:dyDescent="0.35">
      <c r="A2158" s="204">
        <v>39477</v>
      </c>
      <c r="B2158" s="544">
        <v>5.75</v>
      </c>
      <c r="C2158">
        <v>7.35</v>
      </c>
      <c r="D2158">
        <v>7.4</v>
      </c>
      <c r="E2158">
        <v>7.39</v>
      </c>
      <c r="F2158">
        <v>2.58</v>
      </c>
      <c r="G2158">
        <v>3.03</v>
      </c>
      <c r="H2158">
        <v>3.23</v>
      </c>
      <c r="I2158">
        <v>2.88</v>
      </c>
      <c r="J2158">
        <v>0.5</v>
      </c>
      <c r="K2158">
        <v>0.1</v>
      </c>
    </row>
    <row r="2159" spans="1:11" x14ac:dyDescent="0.35">
      <c r="A2159" s="204">
        <v>39484</v>
      </c>
      <c r="B2159" s="544">
        <v>5.75</v>
      </c>
      <c r="C2159">
        <v>7.35</v>
      </c>
      <c r="D2159">
        <v>7.4</v>
      </c>
      <c r="E2159">
        <v>7.39</v>
      </c>
      <c r="F2159">
        <v>2.38</v>
      </c>
      <c r="G2159">
        <v>2.93</v>
      </c>
      <c r="H2159">
        <v>3.23</v>
      </c>
      <c r="I2159">
        <v>2.98</v>
      </c>
      <c r="J2159">
        <v>0.5</v>
      </c>
      <c r="K2159">
        <v>0.1</v>
      </c>
    </row>
    <row r="2160" spans="1:11" x14ac:dyDescent="0.35">
      <c r="A2160" s="204">
        <v>39491</v>
      </c>
      <c r="B2160" s="544">
        <v>5.75</v>
      </c>
      <c r="C2160">
        <v>7.35</v>
      </c>
      <c r="D2160">
        <v>7.4</v>
      </c>
      <c r="E2160">
        <v>7.39</v>
      </c>
      <c r="F2160">
        <v>2.38</v>
      </c>
      <c r="G2160">
        <v>2.93</v>
      </c>
      <c r="H2160">
        <v>3.23</v>
      </c>
      <c r="I2160">
        <v>2.98</v>
      </c>
      <c r="J2160">
        <v>0.5</v>
      </c>
      <c r="K2160">
        <v>0.1</v>
      </c>
    </row>
    <row r="2161" spans="1:11" x14ac:dyDescent="0.35">
      <c r="A2161" s="204">
        <v>39498</v>
      </c>
      <c r="B2161" s="544">
        <v>5.75</v>
      </c>
      <c r="C2161">
        <v>7.25</v>
      </c>
      <c r="D2161">
        <v>7.3</v>
      </c>
      <c r="E2161">
        <v>7.29</v>
      </c>
      <c r="F2161">
        <v>2.38</v>
      </c>
      <c r="G2161">
        <v>2.93</v>
      </c>
      <c r="H2161">
        <v>3.23</v>
      </c>
      <c r="I2161">
        <v>2.98</v>
      </c>
      <c r="J2161">
        <v>0.5</v>
      </c>
      <c r="K2161">
        <v>0.1</v>
      </c>
    </row>
    <row r="2162" spans="1:11" x14ac:dyDescent="0.35">
      <c r="A2162" s="204">
        <v>39505</v>
      </c>
      <c r="B2162" s="544">
        <v>5.75</v>
      </c>
      <c r="C2162">
        <v>7.25</v>
      </c>
      <c r="D2162">
        <v>7.3</v>
      </c>
      <c r="E2162">
        <v>7.29</v>
      </c>
      <c r="F2162">
        <v>2.38</v>
      </c>
      <c r="G2162">
        <v>2.93</v>
      </c>
      <c r="H2162">
        <v>3.23</v>
      </c>
      <c r="I2162">
        <v>2.98</v>
      </c>
      <c r="J2162">
        <v>0.5</v>
      </c>
      <c r="K2162">
        <v>0.1</v>
      </c>
    </row>
    <row r="2163" spans="1:11" x14ac:dyDescent="0.35">
      <c r="A2163" s="204">
        <v>39512</v>
      </c>
      <c r="B2163" s="544">
        <v>5.25</v>
      </c>
      <c r="C2163">
        <v>7.25</v>
      </c>
      <c r="D2163">
        <v>7.3</v>
      </c>
      <c r="E2163">
        <v>7.29</v>
      </c>
      <c r="F2163">
        <v>2.1800000000000002</v>
      </c>
      <c r="G2163">
        <v>2.93</v>
      </c>
      <c r="H2163">
        <v>3.23</v>
      </c>
      <c r="I2163">
        <v>2.73</v>
      </c>
      <c r="J2163">
        <v>0.5</v>
      </c>
      <c r="K2163">
        <v>0.1</v>
      </c>
    </row>
    <row r="2164" spans="1:11" x14ac:dyDescent="0.35">
      <c r="A2164" s="204">
        <v>39519</v>
      </c>
      <c r="B2164" s="544">
        <v>5.25</v>
      </c>
      <c r="C2164">
        <v>7.25</v>
      </c>
      <c r="D2164">
        <v>7.3</v>
      </c>
      <c r="E2164">
        <v>7.29</v>
      </c>
      <c r="F2164">
        <v>2.1800000000000002</v>
      </c>
      <c r="G2164">
        <v>2.68</v>
      </c>
      <c r="H2164">
        <v>2.98</v>
      </c>
      <c r="I2164">
        <v>2.73</v>
      </c>
      <c r="J2164">
        <v>0.5</v>
      </c>
      <c r="K2164">
        <v>0.1</v>
      </c>
    </row>
    <row r="2165" spans="1:11" x14ac:dyDescent="0.35">
      <c r="A2165" s="204">
        <v>39526</v>
      </c>
      <c r="B2165" s="544">
        <v>5.25</v>
      </c>
      <c r="C2165">
        <v>7.25</v>
      </c>
      <c r="D2165">
        <v>7.3</v>
      </c>
      <c r="E2165">
        <v>7.29</v>
      </c>
      <c r="F2165">
        <v>2.1800000000000002</v>
      </c>
      <c r="G2165">
        <v>2.68</v>
      </c>
      <c r="H2165">
        <v>2.98</v>
      </c>
      <c r="I2165">
        <v>2.73</v>
      </c>
      <c r="J2165">
        <v>0.5</v>
      </c>
      <c r="K2165">
        <v>0.1</v>
      </c>
    </row>
    <row r="2166" spans="1:11" x14ac:dyDescent="0.35">
      <c r="A2166" s="204">
        <v>39533</v>
      </c>
      <c r="B2166" s="544">
        <v>5.25</v>
      </c>
      <c r="C2166">
        <v>7.15</v>
      </c>
      <c r="D2166">
        <v>7.2</v>
      </c>
      <c r="E2166">
        <v>7.19</v>
      </c>
      <c r="F2166">
        <v>1.93</v>
      </c>
      <c r="G2166">
        <v>2.4300000000000002</v>
      </c>
      <c r="H2166">
        <v>2.88</v>
      </c>
      <c r="I2166">
        <v>2.63</v>
      </c>
      <c r="J2166">
        <v>0.5</v>
      </c>
      <c r="K2166">
        <v>0.1</v>
      </c>
    </row>
    <row r="2167" spans="1:11" x14ac:dyDescent="0.35">
      <c r="A2167" s="204">
        <v>39540</v>
      </c>
      <c r="B2167" s="544">
        <v>5.25</v>
      </c>
      <c r="C2167">
        <v>7.15</v>
      </c>
      <c r="D2167">
        <v>7.2</v>
      </c>
      <c r="E2167">
        <v>7.19</v>
      </c>
      <c r="F2167">
        <v>1.93</v>
      </c>
      <c r="G2167">
        <v>2.4300000000000002</v>
      </c>
      <c r="H2167">
        <v>2.88</v>
      </c>
      <c r="I2167">
        <v>2.63</v>
      </c>
      <c r="J2167">
        <v>0.5</v>
      </c>
      <c r="K2167">
        <v>0.1</v>
      </c>
    </row>
    <row r="2168" spans="1:11" x14ac:dyDescent="0.35">
      <c r="A2168" s="204">
        <v>39547</v>
      </c>
      <c r="B2168" s="544">
        <v>5.25</v>
      </c>
      <c r="C2168">
        <v>7.15</v>
      </c>
      <c r="D2168">
        <v>7.2</v>
      </c>
      <c r="E2168">
        <v>7.19</v>
      </c>
      <c r="F2168">
        <v>1.93</v>
      </c>
      <c r="G2168">
        <v>2.4300000000000002</v>
      </c>
      <c r="H2168">
        <v>2.88</v>
      </c>
      <c r="I2168">
        <v>2.63</v>
      </c>
      <c r="J2168">
        <v>0.5</v>
      </c>
      <c r="K2168">
        <v>0.1</v>
      </c>
    </row>
    <row r="2169" spans="1:11" x14ac:dyDescent="0.35">
      <c r="A2169" s="204">
        <v>39554</v>
      </c>
      <c r="B2169" s="544">
        <v>5.25</v>
      </c>
      <c r="C2169">
        <v>6.95</v>
      </c>
      <c r="D2169">
        <v>7</v>
      </c>
      <c r="E2169">
        <v>6.99</v>
      </c>
      <c r="F2169">
        <v>1.93</v>
      </c>
      <c r="G2169">
        <v>2.4300000000000002</v>
      </c>
      <c r="H2169">
        <v>2.88</v>
      </c>
      <c r="I2169">
        <v>2.63</v>
      </c>
      <c r="J2169">
        <v>0.5</v>
      </c>
      <c r="K2169">
        <v>0.1</v>
      </c>
    </row>
    <row r="2170" spans="1:11" x14ac:dyDescent="0.35">
      <c r="A2170" s="204">
        <v>39561</v>
      </c>
      <c r="B2170" s="544">
        <v>4.75</v>
      </c>
      <c r="C2170">
        <v>6.95</v>
      </c>
      <c r="D2170">
        <v>7</v>
      </c>
      <c r="E2170">
        <v>6.99</v>
      </c>
      <c r="F2170">
        <v>1.93</v>
      </c>
      <c r="G2170">
        <v>2.4300000000000002</v>
      </c>
      <c r="H2170">
        <v>2.88</v>
      </c>
      <c r="I2170">
        <v>2.63</v>
      </c>
      <c r="J2170">
        <v>0.5</v>
      </c>
      <c r="K2170">
        <v>0.1</v>
      </c>
    </row>
    <row r="2171" spans="1:11" x14ac:dyDescent="0.35">
      <c r="A2171" s="204">
        <v>39568</v>
      </c>
      <c r="B2171" s="544">
        <v>4.75</v>
      </c>
      <c r="C2171">
        <v>6.95</v>
      </c>
      <c r="D2171">
        <v>7</v>
      </c>
      <c r="E2171">
        <v>6.99</v>
      </c>
      <c r="F2171">
        <v>1.93</v>
      </c>
      <c r="G2171">
        <v>2.4300000000000002</v>
      </c>
      <c r="H2171">
        <v>2.88</v>
      </c>
      <c r="I2171">
        <v>2.63</v>
      </c>
      <c r="J2171">
        <v>0.5</v>
      </c>
      <c r="K2171">
        <v>0.1</v>
      </c>
    </row>
    <row r="2172" spans="1:11" x14ac:dyDescent="0.35">
      <c r="A2172" s="204">
        <v>39575</v>
      </c>
      <c r="B2172" s="544">
        <v>4.75</v>
      </c>
      <c r="C2172">
        <v>6.95</v>
      </c>
      <c r="D2172">
        <v>7</v>
      </c>
      <c r="E2172">
        <v>6.99</v>
      </c>
      <c r="F2172">
        <v>1.93</v>
      </c>
      <c r="G2172">
        <v>2.4300000000000002</v>
      </c>
      <c r="H2172">
        <v>2.88</v>
      </c>
      <c r="I2172">
        <v>2.63</v>
      </c>
      <c r="J2172">
        <v>0.5</v>
      </c>
      <c r="K2172">
        <v>0.1</v>
      </c>
    </row>
    <row r="2173" spans="1:11" x14ac:dyDescent="0.35">
      <c r="A2173" s="204">
        <v>39582</v>
      </c>
      <c r="B2173" s="544">
        <v>4.75</v>
      </c>
      <c r="C2173">
        <v>6.95</v>
      </c>
      <c r="D2173">
        <v>7</v>
      </c>
      <c r="E2173">
        <v>6.99</v>
      </c>
      <c r="F2173">
        <v>1.93</v>
      </c>
      <c r="G2173">
        <v>2.4300000000000002</v>
      </c>
      <c r="H2173">
        <v>2.88</v>
      </c>
      <c r="I2173">
        <v>2.63</v>
      </c>
      <c r="J2173">
        <v>0.5</v>
      </c>
      <c r="K2173">
        <v>0.1</v>
      </c>
    </row>
    <row r="2174" spans="1:11" x14ac:dyDescent="0.35">
      <c r="A2174" s="204">
        <v>39589</v>
      </c>
      <c r="B2174" s="544">
        <v>4.75</v>
      </c>
      <c r="C2174">
        <v>6.95</v>
      </c>
      <c r="D2174">
        <v>7</v>
      </c>
      <c r="E2174">
        <v>6.99</v>
      </c>
      <c r="F2174">
        <v>1.93</v>
      </c>
      <c r="G2174">
        <v>2.4300000000000002</v>
      </c>
      <c r="H2174">
        <v>2.88</v>
      </c>
      <c r="I2174">
        <v>2.75</v>
      </c>
      <c r="J2174">
        <v>0.5</v>
      </c>
      <c r="K2174">
        <v>0.1</v>
      </c>
    </row>
    <row r="2175" spans="1:11" x14ac:dyDescent="0.35">
      <c r="A2175" s="204">
        <v>39596</v>
      </c>
      <c r="B2175" s="544">
        <v>4.75</v>
      </c>
      <c r="C2175">
        <v>6.15</v>
      </c>
      <c r="D2175">
        <v>6.15</v>
      </c>
      <c r="E2175">
        <v>6.65</v>
      </c>
      <c r="F2175">
        <v>1.93</v>
      </c>
      <c r="G2175">
        <v>2.4300000000000002</v>
      </c>
      <c r="H2175">
        <v>2.88</v>
      </c>
      <c r="I2175">
        <v>2.75</v>
      </c>
      <c r="J2175">
        <v>0.5</v>
      </c>
      <c r="K2175">
        <v>0.1</v>
      </c>
    </row>
    <row r="2176" spans="1:11" x14ac:dyDescent="0.35">
      <c r="A2176" s="204">
        <v>39603</v>
      </c>
      <c r="B2176" s="544">
        <v>4.75</v>
      </c>
      <c r="C2176">
        <v>6.15</v>
      </c>
      <c r="D2176">
        <v>6.15</v>
      </c>
      <c r="E2176">
        <v>6.65</v>
      </c>
      <c r="F2176">
        <v>1.93</v>
      </c>
      <c r="G2176">
        <v>2.4300000000000002</v>
      </c>
      <c r="H2176">
        <v>2.88</v>
      </c>
      <c r="I2176">
        <v>2.75</v>
      </c>
      <c r="J2176">
        <v>0.5</v>
      </c>
      <c r="K2176">
        <v>0.1</v>
      </c>
    </row>
    <row r="2177" spans="1:11" x14ac:dyDescent="0.35">
      <c r="A2177" s="204">
        <v>39610</v>
      </c>
      <c r="B2177" s="544">
        <v>4.75</v>
      </c>
      <c r="C2177">
        <v>6.15</v>
      </c>
      <c r="D2177">
        <v>6.15</v>
      </c>
      <c r="E2177">
        <v>6.65</v>
      </c>
      <c r="F2177">
        <v>1.93</v>
      </c>
      <c r="G2177">
        <v>2.4300000000000002</v>
      </c>
      <c r="H2177">
        <v>2.88</v>
      </c>
      <c r="I2177">
        <v>2.75</v>
      </c>
      <c r="J2177">
        <v>0.25</v>
      </c>
      <c r="K2177">
        <v>0.1</v>
      </c>
    </row>
    <row r="2178" spans="1:11" x14ac:dyDescent="0.35">
      <c r="A2178" s="204">
        <v>39617</v>
      </c>
      <c r="B2178" s="544">
        <v>4.75</v>
      </c>
      <c r="C2178">
        <v>6.95</v>
      </c>
      <c r="D2178">
        <v>6.65</v>
      </c>
      <c r="E2178">
        <v>7.15</v>
      </c>
      <c r="F2178">
        <v>2.13</v>
      </c>
      <c r="G2178">
        <v>2.73</v>
      </c>
      <c r="H2178">
        <v>3.08</v>
      </c>
      <c r="I2178">
        <v>2.95</v>
      </c>
      <c r="J2178">
        <v>0.25</v>
      </c>
      <c r="K2178">
        <v>0.1</v>
      </c>
    </row>
    <row r="2179" spans="1:11" x14ac:dyDescent="0.35">
      <c r="A2179" s="204">
        <v>39624</v>
      </c>
      <c r="B2179" s="544">
        <v>4.75</v>
      </c>
      <c r="C2179">
        <v>6.95</v>
      </c>
      <c r="D2179">
        <v>6.65</v>
      </c>
      <c r="E2179">
        <v>7.15</v>
      </c>
      <c r="F2179">
        <v>2.13</v>
      </c>
      <c r="G2179">
        <v>2.73</v>
      </c>
      <c r="H2179">
        <v>3.08</v>
      </c>
      <c r="I2179">
        <v>2.95</v>
      </c>
      <c r="J2179">
        <v>0.25</v>
      </c>
      <c r="K2179">
        <v>0.1</v>
      </c>
    </row>
    <row r="2180" spans="1:11" x14ac:dyDescent="0.35">
      <c r="A2180" s="204">
        <v>39631</v>
      </c>
      <c r="B2180" s="544">
        <v>4.75</v>
      </c>
      <c r="C2180">
        <v>6.95</v>
      </c>
      <c r="D2180">
        <v>6.65</v>
      </c>
      <c r="E2180">
        <v>7.15</v>
      </c>
      <c r="F2180">
        <v>2.13</v>
      </c>
      <c r="G2180">
        <v>2.73</v>
      </c>
      <c r="H2180">
        <v>3.08</v>
      </c>
      <c r="I2180">
        <v>2.95</v>
      </c>
      <c r="J2180">
        <v>0.25</v>
      </c>
      <c r="K2180">
        <v>0.1</v>
      </c>
    </row>
    <row r="2181" spans="1:11" x14ac:dyDescent="0.35">
      <c r="A2181" s="204">
        <v>39638</v>
      </c>
      <c r="B2181" s="544">
        <v>4.75</v>
      </c>
      <c r="C2181">
        <v>6.95</v>
      </c>
      <c r="D2181">
        <v>6.65</v>
      </c>
      <c r="E2181">
        <v>7.15</v>
      </c>
      <c r="F2181">
        <v>2.13</v>
      </c>
      <c r="G2181">
        <v>2.73</v>
      </c>
      <c r="H2181">
        <v>3.08</v>
      </c>
      <c r="I2181">
        <v>2.95</v>
      </c>
      <c r="J2181">
        <v>0.25</v>
      </c>
      <c r="K2181">
        <v>0.1</v>
      </c>
    </row>
    <row r="2182" spans="1:11" x14ac:dyDescent="0.35">
      <c r="A2182" s="204">
        <v>39645</v>
      </c>
      <c r="B2182" s="544">
        <v>4.75</v>
      </c>
      <c r="C2182">
        <v>6.95</v>
      </c>
      <c r="D2182">
        <v>6.65</v>
      </c>
      <c r="E2182">
        <v>7.15</v>
      </c>
      <c r="F2182">
        <v>2.13</v>
      </c>
      <c r="G2182">
        <v>2.73</v>
      </c>
      <c r="H2182">
        <v>3.08</v>
      </c>
      <c r="I2182">
        <v>2.95</v>
      </c>
      <c r="J2182">
        <v>0.25</v>
      </c>
      <c r="K2182">
        <v>0.1</v>
      </c>
    </row>
    <row r="2183" spans="1:11" x14ac:dyDescent="0.35">
      <c r="A2183" s="204">
        <v>39652</v>
      </c>
      <c r="B2183" s="544">
        <v>4.75</v>
      </c>
      <c r="C2183">
        <v>6.95</v>
      </c>
      <c r="D2183">
        <v>6.65</v>
      </c>
      <c r="E2183">
        <v>7.15</v>
      </c>
      <c r="F2183">
        <v>2.13</v>
      </c>
      <c r="G2183">
        <v>2.73</v>
      </c>
      <c r="H2183">
        <v>3.08</v>
      </c>
      <c r="I2183">
        <v>2.95</v>
      </c>
      <c r="J2183">
        <v>0.25</v>
      </c>
      <c r="K2183">
        <v>0.1</v>
      </c>
    </row>
    <row r="2184" spans="1:11" x14ac:dyDescent="0.35">
      <c r="A2184" s="204">
        <v>39659</v>
      </c>
      <c r="B2184" s="544">
        <v>4.75</v>
      </c>
      <c r="C2184">
        <v>6.95</v>
      </c>
      <c r="D2184">
        <v>7</v>
      </c>
      <c r="E2184">
        <v>7.15</v>
      </c>
      <c r="F2184">
        <v>2.13</v>
      </c>
      <c r="G2184">
        <v>2.73</v>
      </c>
      <c r="H2184">
        <v>3.08</v>
      </c>
      <c r="I2184">
        <v>2.95</v>
      </c>
      <c r="J2184">
        <v>0.25</v>
      </c>
      <c r="K2184">
        <v>0.1</v>
      </c>
    </row>
    <row r="2185" spans="1:11" x14ac:dyDescent="0.35">
      <c r="A2185" s="204">
        <v>39666</v>
      </c>
      <c r="B2185" s="544">
        <v>4.75</v>
      </c>
      <c r="C2185">
        <v>6.95</v>
      </c>
      <c r="D2185">
        <v>7</v>
      </c>
      <c r="E2185">
        <v>7.15</v>
      </c>
      <c r="F2185">
        <v>2.13</v>
      </c>
      <c r="G2185">
        <v>2.73</v>
      </c>
      <c r="H2185">
        <v>3.08</v>
      </c>
      <c r="I2185">
        <v>2.95</v>
      </c>
      <c r="J2185">
        <v>0.25</v>
      </c>
      <c r="K2185">
        <v>0.1</v>
      </c>
    </row>
    <row r="2186" spans="1:11" x14ac:dyDescent="0.35">
      <c r="A2186" s="204">
        <v>39673</v>
      </c>
      <c r="B2186" s="544">
        <v>4.75</v>
      </c>
      <c r="C2186">
        <v>6.65</v>
      </c>
      <c r="D2186">
        <v>6.7</v>
      </c>
      <c r="E2186">
        <v>6.85</v>
      </c>
      <c r="F2186">
        <v>2.13</v>
      </c>
      <c r="G2186">
        <v>2.73</v>
      </c>
      <c r="H2186">
        <v>3.08</v>
      </c>
      <c r="I2186">
        <v>2.95</v>
      </c>
      <c r="J2186">
        <v>0.25</v>
      </c>
      <c r="K2186">
        <v>0.1</v>
      </c>
    </row>
    <row r="2187" spans="1:11" x14ac:dyDescent="0.35">
      <c r="A2187" s="204">
        <v>39680</v>
      </c>
      <c r="B2187" s="544">
        <v>4.75</v>
      </c>
      <c r="C2187">
        <v>6.65</v>
      </c>
      <c r="D2187">
        <v>6.7</v>
      </c>
      <c r="E2187">
        <v>6.85</v>
      </c>
      <c r="F2187">
        <v>2.13</v>
      </c>
      <c r="G2187">
        <v>2.73</v>
      </c>
      <c r="H2187">
        <v>3.08</v>
      </c>
      <c r="I2187">
        <v>2.95</v>
      </c>
      <c r="J2187">
        <v>0.25</v>
      </c>
      <c r="K2187">
        <v>0.1</v>
      </c>
    </row>
    <row r="2188" spans="1:11" x14ac:dyDescent="0.35">
      <c r="A2188" s="204">
        <v>39687</v>
      </c>
      <c r="B2188" s="544">
        <v>4.75</v>
      </c>
      <c r="C2188">
        <v>6.65</v>
      </c>
      <c r="D2188">
        <v>6.7</v>
      </c>
      <c r="E2188">
        <v>6.85</v>
      </c>
      <c r="F2188">
        <v>2.13</v>
      </c>
      <c r="G2188">
        <v>2.73</v>
      </c>
      <c r="H2188">
        <v>3.08</v>
      </c>
      <c r="I2188">
        <v>2.95</v>
      </c>
      <c r="J2188">
        <v>0.25</v>
      </c>
      <c r="K2188">
        <v>0.1</v>
      </c>
    </row>
    <row r="2189" spans="1:11" x14ac:dyDescent="0.35">
      <c r="A2189" s="204">
        <v>39694</v>
      </c>
      <c r="B2189" s="544">
        <v>4.75</v>
      </c>
      <c r="C2189">
        <v>6.65</v>
      </c>
      <c r="D2189">
        <v>6.7</v>
      </c>
      <c r="E2189">
        <v>6.85</v>
      </c>
      <c r="F2189">
        <v>2.13</v>
      </c>
      <c r="G2189">
        <v>2.73</v>
      </c>
      <c r="H2189">
        <v>3.08</v>
      </c>
      <c r="I2189">
        <v>2.95</v>
      </c>
      <c r="J2189">
        <v>0.25</v>
      </c>
      <c r="K2189">
        <v>0.1</v>
      </c>
    </row>
    <row r="2190" spans="1:11" x14ac:dyDescent="0.35">
      <c r="A2190" s="204">
        <v>39701</v>
      </c>
      <c r="B2190" s="544">
        <v>4.75</v>
      </c>
      <c r="C2190">
        <v>6.65</v>
      </c>
      <c r="D2190">
        <v>6.7</v>
      </c>
      <c r="E2190">
        <v>6.85</v>
      </c>
      <c r="F2190">
        <v>2.13</v>
      </c>
      <c r="G2190">
        <v>2.73</v>
      </c>
      <c r="H2190">
        <v>3.08</v>
      </c>
      <c r="I2190">
        <v>2.95</v>
      </c>
      <c r="J2190">
        <v>0.25</v>
      </c>
      <c r="K2190">
        <v>0.1</v>
      </c>
    </row>
    <row r="2191" spans="1:11" x14ac:dyDescent="0.35">
      <c r="A2191" s="204">
        <v>39708</v>
      </c>
      <c r="B2191" s="544">
        <v>4.75</v>
      </c>
      <c r="C2191">
        <v>6.65</v>
      </c>
      <c r="D2191">
        <v>6.7</v>
      </c>
      <c r="E2191">
        <v>6.85</v>
      </c>
      <c r="F2191">
        <v>2.13</v>
      </c>
      <c r="G2191">
        <v>2.73</v>
      </c>
      <c r="H2191">
        <v>3.08</v>
      </c>
      <c r="I2191">
        <v>2.95</v>
      </c>
      <c r="J2191">
        <v>0.25</v>
      </c>
      <c r="K2191">
        <v>0.1</v>
      </c>
    </row>
    <row r="2192" spans="1:11" x14ac:dyDescent="0.35">
      <c r="A2192" s="204">
        <v>39715</v>
      </c>
      <c r="B2192" s="544">
        <v>4.75</v>
      </c>
      <c r="C2192">
        <v>6.65</v>
      </c>
      <c r="D2192">
        <v>6.7</v>
      </c>
      <c r="E2192">
        <v>6.85</v>
      </c>
      <c r="F2192">
        <v>2.13</v>
      </c>
      <c r="G2192">
        <v>2.73</v>
      </c>
      <c r="H2192">
        <v>3.08</v>
      </c>
      <c r="I2192">
        <v>2.95</v>
      </c>
      <c r="J2192">
        <v>0.25</v>
      </c>
      <c r="K2192">
        <v>0.1</v>
      </c>
    </row>
    <row r="2193" spans="1:11" x14ac:dyDescent="0.35">
      <c r="A2193" s="204">
        <v>39722</v>
      </c>
      <c r="B2193" s="544">
        <v>4.75</v>
      </c>
      <c r="C2193">
        <v>6.35</v>
      </c>
      <c r="D2193">
        <v>7.05</v>
      </c>
      <c r="E2193">
        <v>7.2</v>
      </c>
      <c r="F2193">
        <v>2.13</v>
      </c>
      <c r="G2193">
        <v>2.73</v>
      </c>
      <c r="H2193">
        <v>3.08</v>
      </c>
      <c r="I2193">
        <v>2.95</v>
      </c>
      <c r="J2193">
        <v>0.25</v>
      </c>
      <c r="K2193">
        <v>0.1</v>
      </c>
    </row>
    <row r="2194" spans="1:11" x14ac:dyDescent="0.35">
      <c r="A2194" s="204">
        <v>39729</v>
      </c>
      <c r="B2194" s="544">
        <v>4.75</v>
      </c>
      <c r="C2194">
        <v>6.35</v>
      </c>
      <c r="D2194">
        <v>7.05</v>
      </c>
      <c r="E2194">
        <v>7.2</v>
      </c>
      <c r="F2194">
        <v>2.13</v>
      </c>
      <c r="G2194">
        <v>2.73</v>
      </c>
      <c r="H2194">
        <v>3.08</v>
      </c>
      <c r="I2194">
        <v>2.95</v>
      </c>
      <c r="J2194">
        <v>0.25</v>
      </c>
      <c r="K2194">
        <v>0.1</v>
      </c>
    </row>
    <row r="2195" spans="1:11" x14ac:dyDescent="0.35">
      <c r="A2195" s="204">
        <v>39736</v>
      </c>
      <c r="B2195" s="544">
        <v>4.25</v>
      </c>
      <c r="C2195">
        <v>6.35</v>
      </c>
      <c r="D2195">
        <v>7.05</v>
      </c>
      <c r="E2195">
        <v>7.2</v>
      </c>
      <c r="F2195">
        <v>2.1</v>
      </c>
      <c r="G2195">
        <v>2.73</v>
      </c>
      <c r="H2195">
        <v>3.08</v>
      </c>
      <c r="I2195">
        <v>2.95</v>
      </c>
      <c r="J2195">
        <v>0.25</v>
      </c>
      <c r="K2195">
        <v>0.1</v>
      </c>
    </row>
    <row r="2196" spans="1:11" x14ac:dyDescent="0.35">
      <c r="A2196" s="204">
        <v>39743</v>
      </c>
      <c r="B2196" s="544">
        <v>4</v>
      </c>
      <c r="C2196">
        <v>6.35</v>
      </c>
      <c r="D2196">
        <v>7.05</v>
      </c>
      <c r="E2196">
        <v>7.2</v>
      </c>
      <c r="F2196">
        <v>1.98</v>
      </c>
      <c r="G2196">
        <v>2.73</v>
      </c>
      <c r="H2196">
        <v>3.08</v>
      </c>
      <c r="I2196">
        <v>2.95</v>
      </c>
      <c r="J2196">
        <v>0.25</v>
      </c>
      <c r="K2196">
        <v>0.1</v>
      </c>
    </row>
    <row r="2197" spans="1:11" x14ac:dyDescent="0.35">
      <c r="A2197" s="204">
        <v>39750</v>
      </c>
      <c r="B2197" s="544">
        <v>4</v>
      </c>
      <c r="C2197">
        <v>6.35</v>
      </c>
      <c r="D2197">
        <v>7.05</v>
      </c>
      <c r="E2197">
        <v>7.2</v>
      </c>
      <c r="F2197">
        <v>1.78</v>
      </c>
      <c r="G2197">
        <v>2.73</v>
      </c>
      <c r="H2197">
        <v>3.08</v>
      </c>
      <c r="I2197">
        <v>2.95</v>
      </c>
      <c r="J2197">
        <v>0.25</v>
      </c>
      <c r="K2197">
        <v>0.1</v>
      </c>
    </row>
    <row r="2198" spans="1:11" x14ac:dyDescent="0.35">
      <c r="A2198" s="204">
        <v>39757</v>
      </c>
      <c r="B2198" s="544">
        <v>4</v>
      </c>
      <c r="C2198">
        <v>6.35</v>
      </c>
      <c r="D2198">
        <v>7.05</v>
      </c>
      <c r="E2198">
        <v>7.2</v>
      </c>
      <c r="F2198">
        <v>1.78</v>
      </c>
      <c r="G2198">
        <v>2.73</v>
      </c>
      <c r="H2198">
        <v>3.08</v>
      </c>
      <c r="I2198">
        <v>2.23</v>
      </c>
      <c r="J2198">
        <v>0.25</v>
      </c>
      <c r="K2198">
        <v>0.1</v>
      </c>
    </row>
    <row r="2199" spans="1:11" x14ac:dyDescent="0.35">
      <c r="A2199" s="204">
        <v>39764</v>
      </c>
      <c r="B2199" s="544">
        <v>4</v>
      </c>
      <c r="C2199">
        <v>6.35</v>
      </c>
      <c r="D2199">
        <v>7.05</v>
      </c>
      <c r="E2199">
        <v>7.2</v>
      </c>
      <c r="F2199">
        <v>1.78</v>
      </c>
      <c r="G2199">
        <v>2.73</v>
      </c>
      <c r="H2199">
        <v>3.08</v>
      </c>
      <c r="I2199">
        <v>2.83</v>
      </c>
      <c r="J2199">
        <v>0.25</v>
      </c>
      <c r="K2199">
        <v>0.1</v>
      </c>
    </row>
    <row r="2200" spans="1:11" x14ac:dyDescent="0.35">
      <c r="A2200" s="204">
        <v>39771</v>
      </c>
      <c r="B2200" s="544">
        <v>4</v>
      </c>
      <c r="C2200">
        <v>6.35</v>
      </c>
      <c r="D2200">
        <v>7.05</v>
      </c>
      <c r="E2200">
        <v>7.2</v>
      </c>
      <c r="F2200">
        <v>1.78</v>
      </c>
      <c r="G2200">
        <v>2.73</v>
      </c>
      <c r="H2200">
        <v>3.08</v>
      </c>
      <c r="I2200">
        <v>2.83</v>
      </c>
      <c r="J2200">
        <v>0.25</v>
      </c>
      <c r="K2200">
        <v>0.1</v>
      </c>
    </row>
    <row r="2201" spans="1:11" x14ac:dyDescent="0.35">
      <c r="A2201" s="204">
        <v>39778</v>
      </c>
      <c r="B2201" s="544">
        <v>4</v>
      </c>
      <c r="C2201">
        <v>6.35</v>
      </c>
      <c r="D2201">
        <v>7.05</v>
      </c>
      <c r="E2201">
        <v>7.2</v>
      </c>
      <c r="F2201">
        <v>1.78</v>
      </c>
      <c r="G2201">
        <v>2.73</v>
      </c>
      <c r="H2201">
        <v>3.08</v>
      </c>
      <c r="I2201">
        <v>2.83</v>
      </c>
      <c r="J2201">
        <v>0.25</v>
      </c>
      <c r="K2201">
        <v>0.1</v>
      </c>
    </row>
    <row r="2202" spans="1:11" x14ac:dyDescent="0.35">
      <c r="A2202" s="204">
        <v>39785</v>
      </c>
      <c r="B2202" s="544">
        <v>4</v>
      </c>
      <c r="C2202">
        <v>5.6</v>
      </c>
      <c r="D2202">
        <v>6.45</v>
      </c>
      <c r="E2202">
        <v>6.95</v>
      </c>
      <c r="F2202">
        <v>1.78</v>
      </c>
      <c r="G2202">
        <v>2.73</v>
      </c>
      <c r="H2202">
        <v>3.08</v>
      </c>
      <c r="I2202">
        <v>2.23</v>
      </c>
      <c r="J2202">
        <v>0.25</v>
      </c>
      <c r="K2202">
        <v>0.1</v>
      </c>
    </row>
    <row r="2203" spans="1:11" x14ac:dyDescent="0.35">
      <c r="A2203" s="204">
        <v>39792</v>
      </c>
      <c r="B2203" s="544">
        <v>3.5</v>
      </c>
      <c r="C2203">
        <v>5.6</v>
      </c>
      <c r="D2203">
        <v>6.45</v>
      </c>
      <c r="E2203">
        <v>6.95</v>
      </c>
      <c r="F2203">
        <v>1.38</v>
      </c>
      <c r="G2203">
        <v>2.13</v>
      </c>
      <c r="H2203">
        <v>2.48</v>
      </c>
      <c r="I2203">
        <v>2.23</v>
      </c>
      <c r="J2203">
        <v>0.25</v>
      </c>
      <c r="K2203">
        <v>0.1</v>
      </c>
    </row>
    <row r="2204" spans="1:11" x14ac:dyDescent="0.35">
      <c r="A2204" s="204">
        <v>39799</v>
      </c>
      <c r="B2204" s="544">
        <v>3.5</v>
      </c>
      <c r="C2204">
        <v>5.6</v>
      </c>
      <c r="D2204">
        <v>6.25</v>
      </c>
      <c r="E2204">
        <v>6.75</v>
      </c>
      <c r="F2204">
        <v>1.08</v>
      </c>
      <c r="G2204">
        <v>2.13</v>
      </c>
      <c r="H2204">
        <v>2.48</v>
      </c>
      <c r="I2204">
        <v>2.23</v>
      </c>
      <c r="J2204">
        <v>0.25</v>
      </c>
      <c r="K2204">
        <v>0.1</v>
      </c>
    </row>
    <row r="2205" spans="1:11" x14ac:dyDescent="0.35">
      <c r="A2205" s="204">
        <v>39806</v>
      </c>
      <c r="B2205" s="544">
        <v>3.5</v>
      </c>
      <c r="C2205">
        <v>5.6</v>
      </c>
      <c r="D2205">
        <v>6.25</v>
      </c>
      <c r="E2205">
        <v>6.75</v>
      </c>
      <c r="F2205">
        <v>1.08</v>
      </c>
      <c r="G2205">
        <v>2.13</v>
      </c>
      <c r="H2205">
        <v>2.48</v>
      </c>
      <c r="I2205">
        <v>2.23</v>
      </c>
      <c r="J2205">
        <v>0.25</v>
      </c>
      <c r="K2205">
        <v>0.05</v>
      </c>
    </row>
    <row r="2206" spans="1:11" x14ac:dyDescent="0.35">
      <c r="A2206" s="204">
        <v>39813</v>
      </c>
      <c r="B2206" s="544">
        <v>3.5</v>
      </c>
      <c r="C2206">
        <v>5.6</v>
      </c>
      <c r="D2206">
        <v>6.25</v>
      </c>
      <c r="E2206">
        <v>6.75</v>
      </c>
      <c r="F2206">
        <v>1.08</v>
      </c>
      <c r="G2206">
        <v>2.13</v>
      </c>
      <c r="H2206">
        <v>2.48</v>
      </c>
      <c r="I2206">
        <v>2.23</v>
      </c>
      <c r="J2206">
        <v>0.25</v>
      </c>
      <c r="K2206">
        <v>0.05</v>
      </c>
    </row>
    <row r="2207" spans="1:11" x14ac:dyDescent="0.35">
      <c r="A2207" s="204">
        <v>39820</v>
      </c>
      <c r="B2207" s="544">
        <v>3.5</v>
      </c>
      <c r="C2207">
        <v>5.6</v>
      </c>
      <c r="D2207">
        <v>6.25</v>
      </c>
      <c r="E2207">
        <v>6.75</v>
      </c>
      <c r="F2207">
        <v>1.08</v>
      </c>
      <c r="G2207">
        <v>2.13</v>
      </c>
      <c r="H2207">
        <v>2.48</v>
      </c>
      <c r="I2207">
        <v>2.23</v>
      </c>
      <c r="J2207">
        <v>0.25</v>
      </c>
      <c r="K2207">
        <v>0.05</v>
      </c>
    </row>
    <row r="2208" spans="1:11" x14ac:dyDescent="0.35">
      <c r="A2208" s="204">
        <v>39827</v>
      </c>
      <c r="B2208" s="544">
        <v>3.5</v>
      </c>
      <c r="C2208">
        <v>5.6</v>
      </c>
      <c r="D2208">
        <v>6.25</v>
      </c>
      <c r="E2208">
        <v>6.75</v>
      </c>
      <c r="F2208">
        <v>1.08</v>
      </c>
      <c r="G2208">
        <v>2.13</v>
      </c>
      <c r="H2208">
        <v>2.48</v>
      </c>
      <c r="I2208">
        <v>2.23</v>
      </c>
      <c r="J2208">
        <v>0.25</v>
      </c>
      <c r="K2208">
        <v>0.05</v>
      </c>
    </row>
    <row r="2209" spans="1:11" x14ac:dyDescent="0.35">
      <c r="A2209" s="204">
        <v>39834</v>
      </c>
      <c r="B2209" s="544">
        <v>3</v>
      </c>
      <c r="C2209">
        <v>5</v>
      </c>
      <c r="D2209">
        <v>5.75</v>
      </c>
      <c r="E2209">
        <v>5.79</v>
      </c>
      <c r="F2209">
        <v>1.08</v>
      </c>
      <c r="G2209">
        <v>2.13</v>
      </c>
      <c r="H2209">
        <v>2.48</v>
      </c>
      <c r="I2209">
        <v>1.95</v>
      </c>
      <c r="J2209">
        <v>0.25</v>
      </c>
      <c r="K2209">
        <v>0.05</v>
      </c>
    </row>
    <row r="2210" spans="1:11" x14ac:dyDescent="0.35">
      <c r="A2210" s="204">
        <v>39841</v>
      </c>
      <c r="B2210" s="544">
        <v>3</v>
      </c>
      <c r="C2210">
        <v>5</v>
      </c>
      <c r="D2210">
        <v>5.75</v>
      </c>
      <c r="E2210">
        <v>5.79</v>
      </c>
      <c r="F2210">
        <v>1.03</v>
      </c>
      <c r="G2210">
        <v>1.78</v>
      </c>
      <c r="H2210">
        <v>2.08</v>
      </c>
      <c r="I2210">
        <v>1.95</v>
      </c>
      <c r="J2210">
        <v>0.25</v>
      </c>
      <c r="K2210">
        <v>0.05</v>
      </c>
    </row>
    <row r="2211" spans="1:11" x14ac:dyDescent="0.35">
      <c r="A2211" s="204">
        <v>39848</v>
      </c>
      <c r="B2211" s="544">
        <v>3</v>
      </c>
      <c r="C2211">
        <v>5</v>
      </c>
      <c r="D2211">
        <v>5.15</v>
      </c>
      <c r="E2211">
        <v>5.79</v>
      </c>
      <c r="F2211">
        <v>1.03</v>
      </c>
      <c r="G2211">
        <v>1.78</v>
      </c>
      <c r="H2211">
        <v>2.08</v>
      </c>
      <c r="I2211">
        <v>1.95</v>
      </c>
      <c r="J2211">
        <v>0.25</v>
      </c>
      <c r="K2211">
        <v>0.05</v>
      </c>
    </row>
    <row r="2212" spans="1:11" x14ac:dyDescent="0.35">
      <c r="A2212" s="204">
        <v>39855</v>
      </c>
      <c r="B2212" s="544">
        <v>3</v>
      </c>
      <c r="C2212">
        <v>5</v>
      </c>
      <c r="D2212">
        <v>5.15</v>
      </c>
      <c r="E2212">
        <v>5.79</v>
      </c>
      <c r="F2212">
        <v>0.88</v>
      </c>
      <c r="G2212">
        <v>1.78</v>
      </c>
      <c r="H2212">
        <v>2.08</v>
      </c>
      <c r="I2212">
        <v>1.95</v>
      </c>
      <c r="J2212">
        <v>0.25</v>
      </c>
      <c r="K2212">
        <v>0.05</v>
      </c>
    </row>
    <row r="2213" spans="1:11" x14ac:dyDescent="0.35">
      <c r="A2213" s="204">
        <v>39862</v>
      </c>
      <c r="B2213" s="544">
        <v>3</v>
      </c>
      <c r="C2213">
        <v>5</v>
      </c>
      <c r="D2213">
        <v>5.15</v>
      </c>
      <c r="E2213">
        <v>5.79</v>
      </c>
      <c r="F2213">
        <v>0.88</v>
      </c>
      <c r="G2213">
        <v>1.78</v>
      </c>
      <c r="H2213">
        <v>2.08</v>
      </c>
      <c r="I2213">
        <v>1.95</v>
      </c>
      <c r="J2213">
        <v>0.25</v>
      </c>
      <c r="K2213">
        <v>0.05</v>
      </c>
    </row>
    <row r="2214" spans="1:11" x14ac:dyDescent="0.35">
      <c r="A2214" s="204">
        <v>39869</v>
      </c>
      <c r="B2214" s="544">
        <v>3</v>
      </c>
      <c r="C2214">
        <v>5</v>
      </c>
      <c r="D2214">
        <v>5.15</v>
      </c>
      <c r="E2214">
        <v>5.79</v>
      </c>
      <c r="F2214">
        <v>0.88</v>
      </c>
      <c r="G2214">
        <v>1.78</v>
      </c>
      <c r="H2214">
        <v>2.08</v>
      </c>
      <c r="I2214">
        <v>1.95</v>
      </c>
      <c r="J2214">
        <v>0.25</v>
      </c>
      <c r="K2214">
        <v>0.05</v>
      </c>
    </row>
    <row r="2215" spans="1:11" x14ac:dyDescent="0.35">
      <c r="A2215" s="204">
        <v>39876</v>
      </c>
      <c r="B2215" s="544">
        <v>2.5</v>
      </c>
      <c r="C2215">
        <v>5</v>
      </c>
      <c r="D2215">
        <v>5.15</v>
      </c>
      <c r="E2215">
        <v>5.79</v>
      </c>
      <c r="F2215">
        <v>0.73</v>
      </c>
      <c r="G2215">
        <v>1.78</v>
      </c>
      <c r="H2215">
        <v>2.08</v>
      </c>
      <c r="I2215">
        <v>1.95</v>
      </c>
      <c r="J2215">
        <v>0.25</v>
      </c>
      <c r="K2215">
        <v>0.05</v>
      </c>
    </row>
    <row r="2216" spans="1:11" x14ac:dyDescent="0.35">
      <c r="A2216" s="204">
        <v>39883</v>
      </c>
      <c r="B2216" s="544">
        <v>2.5</v>
      </c>
      <c r="C2216">
        <v>4.5</v>
      </c>
      <c r="D2216">
        <v>5.15</v>
      </c>
      <c r="E2216">
        <v>5.79</v>
      </c>
      <c r="F2216">
        <v>0.73</v>
      </c>
      <c r="G2216">
        <v>1.78</v>
      </c>
      <c r="H2216">
        <v>2.08</v>
      </c>
      <c r="I2216">
        <v>1.95</v>
      </c>
      <c r="J2216">
        <v>0.25</v>
      </c>
      <c r="K2216">
        <v>0.05</v>
      </c>
    </row>
    <row r="2217" spans="1:11" x14ac:dyDescent="0.35">
      <c r="A2217" s="204">
        <v>39890</v>
      </c>
      <c r="B2217" s="544">
        <v>2.5</v>
      </c>
      <c r="C2217">
        <v>4.5</v>
      </c>
      <c r="D2217">
        <v>5.15</v>
      </c>
      <c r="E2217">
        <v>5.79</v>
      </c>
      <c r="F2217">
        <v>0.5</v>
      </c>
      <c r="G2217">
        <v>1.78</v>
      </c>
      <c r="H2217">
        <v>2.08</v>
      </c>
      <c r="I2217">
        <v>1.95</v>
      </c>
      <c r="J2217">
        <v>0.25</v>
      </c>
      <c r="K2217">
        <v>0.05</v>
      </c>
    </row>
    <row r="2218" spans="1:11" x14ac:dyDescent="0.35">
      <c r="A2218" s="204">
        <v>39897</v>
      </c>
      <c r="B2218" s="544">
        <v>2.5</v>
      </c>
      <c r="C2218">
        <v>4.5</v>
      </c>
      <c r="D2218">
        <v>4.6500000000000004</v>
      </c>
      <c r="E2218">
        <v>5.55</v>
      </c>
      <c r="F2218">
        <v>0.38</v>
      </c>
      <c r="G2218">
        <v>1.68</v>
      </c>
      <c r="H2218">
        <v>2.08</v>
      </c>
      <c r="I2218">
        <v>1.95</v>
      </c>
      <c r="J2218">
        <v>0.25</v>
      </c>
      <c r="K2218">
        <v>0.05</v>
      </c>
    </row>
    <row r="2219" spans="1:11" x14ac:dyDescent="0.35">
      <c r="A2219" s="204">
        <v>39904</v>
      </c>
      <c r="B2219" s="544">
        <v>2.5</v>
      </c>
      <c r="C2219">
        <v>4.5</v>
      </c>
      <c r="D2219">
        <v>4.6500000000000004</v>
      </c>
      <c r="E2219">
        <v>5.55</v>
      </c>
      <c r="F2219">
        <v>0.38</v>
      </c>
      <c r="G2219">
        <v>1.68</v>
      </c>
      <c r="H2219">
        <v>2.08</v>
      </c>
      <c r="I2219">
        <v>1.95</v>
      </c>
      <c r="J2219">
        <v>0.25</v>
      </c>
      <c r="K2219">
        <v>0.05</v>
      </c>
    </row>
    <row r="2220" spans="1:11" x14ac:dyDescent="0.35">
      <c r="A2220" s="204">
        <v>39911</v>
      </c>
      <c r="B2220" s="544">
        <v>2.5</v>
      </c>
      <c r="C2220">
        <v>4.2</v>
      </c>
      <c r="D2220">
        <v>4.45</v>
      </c>
      <c r="E2220">
        <v>5.45</v>
      </c>
      <c r="F2220">
        <v>0.38</v>
      </c>
      <c r="G2220">
        <v>1.68</v>
      </c>
      <c r="H2220">
        <v>2.08</v>
      </c>
      <c r="I2220">
        <v>1.83</v>
      </c>
      <c r="J2220">
        <v>0.25</v>
      </c>
      <c r="K2220">
        <v>0.05</v>
      </c>
    </row>
    <row r="2221" spans="1:11" x14ac:dyDescent="0.35">
      <c r="A2221" s="204">
        <v>39918</v>
      </c>
      <c r="B2221" s="544">
        <v>2.5</v>
      </c>
      <c r="C2221">
        <v>4.2</v>
      </c>
      <c r="D2221">
        <v>4.45</v>
      </c>
      <c r="E2221">
        <v>5.45</v>
      </c>
      <c r="F2221">
        <v>0.38</v>
      </c>
      <c r="G2221">
        <v>1.48</v>
      </c>
      <c r="H2221">
        <v>1.78</v>
      </c>
      <c r="I2221">
        <v>1.65</v>
      </c>
      <c r="J2221">
        <v>0.25</v>
      </c>
      <c r="K2221">
        <v>0.05</v>
      </c>
    </row>
    <row r="2222" spans="1:11" x14ac:dyDescent="0.35">
      <c r="A2222" s="204">
        <v>39925</v>
      </c>
      <c r="B2222" s="544">
        <v>2.25</v>
      </c>
      <c r="C2222">
        <v>4.2</v>
      </c>
      <c r="D2222">
        <v>4.45</v>
      </c>
      <c r="E2222">
        <v>5.45</v>
      </c>
      <c r="F2222">
        <v>0.38</v>
      </c>
      <c r="G2222">
        <v>1.48</v>
      </c>
      <c r="H2222">
        <v>1.78</v>
      </c>
      <c r="I2222">
        <v>1.65</v>
      </c>
      <c r="J2222">
        <v>0.25</v>
      </c>
      <c r="K2222">
        <v>0.05</v>
      </c>
    </row>
    <row r="2223" spans="1:11" x14ac:dyDescent="0.35">
      <c r="A2223" s="204">
        <v>39932</v>
      </c>
      <c r="B2223" s="544">
        <v>2.25</v>
      </c>
      <c r="C2223">
        <v>3.9</v>
      </c>
      <c r="D2223">
        <v>4.1500000000000004</v>
      </c>
      <c r="E2223">
        <v>5.25</v>
      </c>
      <c r="F2223">
        <v>0.28000000000000003</v>
      </c>
      <c r="G2223">
        <v>1.48</v>
      </c>
      <c r="H2223">
        <v>1.78</v>
      </c>
      <c r="I2223">
        <v>1.65</v>
      </c>
      <c r="J2223">
        <v>0.25</v>
      </c>
      <c r="K2223">
        <v>0.05</v>
      </c>
    </row>
    <row r="2224" spans="1:11" x14ac:dyDescent="0.35">
      <c r="A2224" s="204">
        <v>39939</v>
      </c>
      <c r="B2224" s="544">
        <v>2.25</v>
      </c>
      <c r="C2224">
        <v>3.9</v>
      </c>
      <c r="D2224">
        <v>4.1500000000000004</v>
      </c>
      <c r="E2224">
        <v>5.25</v>
      </c>
      <c r="F2224">
        <v>0.28000000000000003</v>
      </c>
      <c r="G2224">
        <v>1.48</v>
      </c>
      <c r="H2224">
        <v>1.78</v>
      </c>
      <c r="I2224">
        <v>1.65</v>
      </c>
      <c r="J2224">
        <v>0.25</v>
      </c>
      <c r="K2224">
        <v>0.05</v>
      </c>
    </row>
    <row r="2225" spans="1:11" x14ac:dyDescent="0.35">
      <c r="A2225" s="204">
        <v>39946</v>
      </c>
      <c r="B2225" s="544">
        <v>2.25</v>
      </c>
      <c r="C2225">
        <v>3.9</v>
      </c>
      <c r="D2225">
        <v>4.1500000000000004</v>
      </c>
      <c r="E2225">
        <v>5.25</v>
      </c>
      <c r="F2225">
        <v>0.28000000000000003</v>
      </c>
      <c r="G2225">
        <v>1.48</v>
      </c>
      <c r="H2225">
        <v>1.78</v>
      </c>
      <c r="I2225">
        <v>1.65</v>
      </c>
      <c r="J2225">
        <v>0.25</v>
      </c>
      <c r="K2225">
        <v>0.05</v>
      </c>
    </row>
    <row r="2226" spans="1:11" x14ac:dyDescent="0.35">
      <c r="A2226" s="204">
        <v>39953</v>
      </c>
      <c r="B2226" s="544">
        <v>2.25</v>
      </c>
      <c r="C2226">
        <v>3.9</v>
      </c>
      <c r="D2226">
        <v>4.1500000000000004</v>
      </c>
      <c r="E2226">
        <v>5.25</v>
      </c>
      <c r="F2226">
        <v>0.28000000000000003</v>
      </c>
      <c r="G2226">
        <v>1.48</v>
      </c>
      <c r="H2226">
        <v>1.78</v>
      </c>
      <c r="I2226">
        <v>1.65</v>
      </c>
      <c r="J2226">
        <v>0.25</v>
      </c>
      <c r="K2226">
        <v>0.05</v>
      </c>
    </row>
    <row r="2227" spans="1:11" x14ac:dyDescent="0.35">
      <c r="A2227" s="204">
        <v>39960</v>
      </c>
      <c r="B2227" s="544">
        <v>2.25</v>
      </c>
      <c r="C2227">
        <v>3.9</v>
      </c>
      <c r="D2227">
        <v>4.1500000000000004</v>
      </c>
      <c r="E2227">
        <v>5.25</v>
      </c>
      <c r="F2227">
        <v>0.28000000000000003</v>
      </c>
      <c r="G2227">
        <v>1.48</v>
      </c>
      <c r="H2227">
        <v>1.78</v>
      </c>
      <c r="I2227">
        <v>1.65</v>
      </c>
      <c r="J2227">
        <v>0.25</v>
      </c>
      <c r="K2227">
        <v>0.05</v>
      </c>
    </row>
    <row r="2228" spans="1:11" x14ac:dyDescent="0.35">
      <c r="A2228" s="204">
        <v>39967</v>
      </c>
      <c r="B2228" s="544">
        <v>2.25</v>
      </c>
      <c r="C2228">
        <v>3.9</v>
      </c>
      <c r="D2228">
        <v>4.1500000000000004</v>
      </c>
      <c r="E2228">
        <v>5.45</v>
      </c>
      <c r="F2228">
        <v>0.28000000000000003</v>
      </c>
      <c r="G2228">
        <v>1.48</v>
      </c>
      <c r="H2228">
        <v>1.78</v>
      </c>
      <c r="I2228">
        <v>1.65</v>
      </c>
      <c r="J2228">
        <v>0.25</v>
      </c>
      <c r="K2228">
        <v>0.05</v>
      </c>
    </row>
    <row r="2229" spans="1:11" x14ac:dyDescent="0.35">
      <c r="A2229" s="204">
        <v>39974</v>
      </c>
      <c r="B2229" s="544">
        <v>2.25</v>
      </c>
      <c r="C2229">
        <v>3.9</v>
      </c>
      <c r="D2229">
        <v>4.1500000000000004</v>
      </c>
      <c r="E2229">
        <v>5.45</v>
      </c>
      <c r="F2229">
        <v>0.28000000000000003</v>
      </c>
      <c r="G2229">
        <v>1.48</v>
      </c>
      <c r="H2229">
        <v>1.78</v>
      </c>
      <c r="I2229">
        <v>1.65</v>
      </c>
      <c r="J2229">
        <v>0.25</v>
      </c>
      <c r="K2229">
        <v>0.05</v>
      </c>
    </row>
    <row r="2230" spans="1:11" x14ac:dyDescent="0.35">
      <c r="A2230" s="204">
        <v>39981</v>
      </c>
      <c r="B2230" s="544">
        <v>2.25</v>
      </c>
      <c r="C2230">
        <v>3.75</v>
      </c>
      <c r="D2230">
        <v>4.55</v>
      </c>
      <c r="E2230">
        <v>5.85</v>
      </c>
      <c r="F2230">
        <v>0.28000000000000003</v>
      </c>
      <c r="G2230">
        <v>1.48</v>
      </c>
      <c r="H2230">
        <v>1.78</v>
      </c>
      <c r="I2230">
        <v>1.65</v>
      </c>
      <c r="J2230">
        <v>0.25</v>
      </c>
      <c r="K2230">
        <v>0.05</v>
      </c>
    </row>
    <row r="2231" spans="1:11" x14ac:dyDescent="0.35">
      <c r="A2231" s="204">
        <v>39988</v>
      </c>
      <c r="B2231" s="544">
        <v>2.25</v>
      </c>
      <c r="C2231">
        <v>3.75</v>
      </c>
      <c r="D2231">
        <v>4.55</v>
      </c>
      <c r="E2231">
        <v>5.85</v>
      </c>
      <c r="F2231">
        <v>0.28000000000000003</v>
      </c>
      <c r="G2231">
        <v>1.48</v>
      </c>
      <c r="H2231">
        <v>1.78</v>
      </c>
      <c r="I2231">
        <v>1.65</v>
      </c>
      <c r="J2231">
        <v>0.25</v>
      </c>
      <c r="K2231">
        <v>0.05</v>
      </c>
    </row>
    <row r="2232" spans="1:11" x14ac:dyDescent="0.35">
      <c r="A2232" s="204">
        <v>39995</v>
      </c>
      <c r="B2232" s="544">
        <v>2.25</v>
      </c>
      <c r="C2232">
        <v>3.75</v>
      </c>
      <c r="D2232">
        <v>4.55</v>
      </c>
      <c r="E2232">
        <v>5.85</v>
      </c>
      <c r="F2232">
        <v>0.28000000000000003</v>
      </c>
      <c r="G2232">
        <v>1.48</v>
      </c>
      <c r="H2232">
        <v>1.78</v>
      </c>
      <c r="I2232">
        <v>1.65</v>
      </c>
      <c r="J2232">
        <v>0.25</v>
      </c>
      <c r="K2232">
        <v>0.05</v>
      </c>
    </row>
    <row r="2233" spans="1:11" x14ac:dyDescent="0.35">
      <c r="A2233" s="204">
        <v>40002</v>
      </c>
      <c r="B2233" s="544">
        <v>2.25</v>
      </c>
      <c r="C2233">
        <v>3.75</v>
      </c>
      <c r="D2233">
        <v>4.55</v>
      </c>
      <c r="E2233">
        <v>5.85</v>
      </c>
      <c r="F2233">
        <v>0.28000000000000003</v>
      </c>
      <c r="G2233">
        <v>1.48</v>
      </c>
      <c r="H2233">
        <v>1.98</v>
      </c>
      <c r="I2233">
        <v>1.85</v>
      </c>
      <c r="J2233">
        <v>0.25</v>
      </c>
      <c r="K2233">
        <v>0.05</v>
      </c>
    </row>
    <row r="2234" spans="1:11" x14ac:dyDescent="0.35">
      <c r="A2234" s="204">
        <v>40009</v>
      </c>
      <c r="B2234" s="544">
        <v>2.25</v>
      </c>
      <c r="C2234">
        <v>3.75</v>
      </c>
      <c r="D2234">
        <v>4.55</v>
      </c>
      <c r="E2234">
        <v>5.85</v>
      </c>
      <c r="F2234">
        <v>0.28000000000000003</v>
      </c>
      <c r="G2234">
        <v>1.48</v>
      </c>
      <c r="H2234">
        <v>1.98</v>
      </c>
      <c r="I2234">
        <v>1.73</v>
      </c>
      <c r="J2234">
        <v>0.25</v>
      </c>
      <c r="K2234">
        <v>0.05</v>
      </c>
    </row>
    <row r="2235" spans="1:11" x14ac:dyDescent="0.35">
      <c r="A2235" s="204">
        <v>40016</v>
      </c>
      <c r="B2235" s="544">
        <v>2.25</v>
      </c>
      <c r="C2235">
        <v>3.75</v>
      </c>
      <c r="D2235">
        <v>4.55</v>
      </c>
      <c r="E2235">
        <v>5.85</v>
      </c>
      <c r="F2235">
        <v>0.28000000000000003</v>
      </c>
      <c r="G2235">
        <v>1.48</v>
      </c>
      <c r="H2235">
        <v>1.98</v>
      </c>
      <c r="I2235">
        <v>1.73</v>
      </c>
      <c r="J2235">
        <v>0.25</v>
      </c>
      <c r="K2235">
        <v>0.05</v>
      </c>
    </row>
    <row r="2236" spans="1:11" x14ac:dyDescent="0.35">
      <c r="A2236" s="204">
        <v>40023</v>
      </c>
      <c r="B2236" s="544">
        <v>2.25</v>
      </c>
      <c r="C2236">
        <v>3.75</v>
      </c>
      <c r="D2236">
        <v>4.55</v>
      </c>
      <c r="E2236">
        <v>5.85</v>
      </c>
      <c r="F2236">
        <v>0.28000000000000003</v>
      </c>
      <c r="G2236">
        <v>1.48</v>
      </c>
      <c r="H2236">
        <v>1.98</v>
      </c>
      <c r="I2236">
        <v>1.73</v>
      </c>
      <c r="J2236">
        <v>0.25</v>
      </c>
      <c r="K2236">
        <v>0.05</v>
      </c>
    </row>
    <row r="2237" spans="1:11" x14ac:dyDescent="0.35">
      <c r="A2237" s="204">
        <v>40030</v>
      </c>
      <c r="B2237" s="544">
        <v>2.25</v>
      </c>
      <c r="C2237">
        <v>3.75</v>
      </c>
      <c r="D2237">
        <v>4.55</v>
      </c>
      <c r="E2237">
        <v>5.85</v>
      </c>
      <c r="F2237">
        <v>0.28000000000000003</v>
      </c>
      <c r="G2237">
        <v>1.48</v>
      </c>
      <c r="H2237">
        <v>1.98</v>
      </c>
      <c r="I2237">
        <v>1.85</v>
      </c>
      <c r="J2237">
        <v>0.25</v>
      </c>
      <c r="K2237">
        <v>0.05</v>
      </c>
    </row>
    <row r="2238" spans="1:11" x14ac:dyDescent="0.35">
      <c r="A2238" s="204">
        <v>40037</v>
      </c>
      <c r="B2238" s="544">
        <v>2.25</v>
      </c>
      <c r="C2238">
        <v>3.75</v>
      </c>
      <c r="D2238">
        <v>4.55</v>
      </c>
      <c r="E2238">
        <v>5.85</v>
      </c>
      <c r="F2238">
        <v>0.28000000000000003</v>
      </c>
      <c r="G2238">
        <v>1.48</v>
      </c>
      <c r="H2238">
        <v>1.98</v>
      </c>
      <c r="I2238">
        <v>1.85</v>
      </c>
      <c r="J2238">
        <v>0.2</v>
      </c>
      <c r="K2238">
        <v>0.05</v>
      </c>
    </row>
    <row r="2239" spans="1:11" x14ac:dyDescent="0.35">
      <c r="A2239" s="204">
        <v>40044</v>
      </c>
      <c r="B2239" s="544">
        <v>2.25</v>
      </c>
      <c r="C2239">
        <v>3.75</v>
      </c>
      <c r="D2239">
        <v>4.55</v>
      </c>
      <c r="E2239">
        <v>5.85</v>
      </c>
      <c r="F2239">
        <v>0.28000000000000003</v>
      </c>
      <c r="G2239">
        <v>1.48</v>
      </c>
      <c r="H2239">
        <v>1.98</v>
      </c>
      <c r="I2239">
        <v>1.85</v>
      </c>
      <c r="J2239">
        <v>0.2</v>
      </c>
      <c r="K2239">
        <v>0.05</v>
      </c>
    </row>
    <row r="2240" spans="1:11" x14ac:dyDescent="0.35">
      <c r="A2240" s="204">
        <v>40051</v>
      </c>
      <c r="B2240" s="544">
        <v>2.25</v>
      </c>
      <c r="C2240">
        <v>3.75</v>
      </c>
      <c r="D2240">
        <v>4.55</v>
      </c>
      <c r="E2240">
        <v>5.85</v>
      </c>
      <c r="F2240">
        <v>0.28000000000000003</v>
      </c>
      <c r="G2240">
        <v>1.48</v>
      </c>
      <c r="H2240">
        <v>1.98</v>
      </c>
      <c r="I2240">
        <v>1.73</v>
      </c>
      <c r="J2240">
        <v>0.2</v>
      </c>
      <c r="K2240">
        <v>0.05</v>
      </c>
    </row>
    <row r="2241" spans="1:11" x14ac:dyDescent="0.35">
      <c r="A2241" s="204">
        <v>40058</v>
      </c>
      <c r="B2241" s="544">
        <v>2.25</v>
      </c>
      <c r="C2241">
        <v>3.75</v>
      </c>
      <c r="D2241">
        <v>4.55</v>
      </c>
      <c r="E2241">
        <v>5.85</v>
      </c>
      <c r="F2241">
        <v>0.28000000000000003</v>
      </c>
      <c r="G2241">
        <v>1.48</v>
      </c>
      <c r="H2241">
        <v>1.98</v>
      </c>
      <c r="I2241">
        <v>1.73</v>
      </c>
      <c r="J2241">
        <v>0.2</v>
      </c>
      <c r="K2241">
        <v>0.05</v>
      </c>
    </row>
    <row r="2242" spans="1:11" x14ac:dyDescent="0.35">
      <c r="A2242" s="204">
        <v>40065</v>
      </c>
      <c r="B2242" s="544">
        <v>2.25</v>
      </c>
      <c r="C2242">
        <v>3.75</v>
      </c>
      <c r="D2242">
        <v>4.45</v>
      </c>
      <c r="E2242">
        <v>5.49</v>
      </c>
      <c r="F2242">
        <v>0.28000000000000003</v>
      </c>
      <c r="G2242">
        <v>1.48</v>
      </c>
      <c r="H2242">
        <v>1.98</v>
      </c>
      <c r="I2242">
        <v>1.73</v>
      </c>
      <c r="J2242">
        <v>0.2</v>
      </c>
      <c r="K2242">
        <v>0.05</v>
      </c>
    </row>
    <row r="2243" spans="1:11" x14ac:dyDescent="0.35">
      <c r="A2243" s="204">
        <v>40072</v>
      </c>
      <c r="B2243" s="544">
        <v>2.25</v>
      </c>
      <c r="C2243">
        <v>3.7</v>
      </c>
      <c r="D2243">
        <v>4.3499999999999996</v>
      </c>
      <c r="E2243">
        <v>5.49</v>
      </c>
      <c r="F2243">
        <v>0.28000000000000003</v>
      </c>
      <c r="G2243">
        <v>1.48</v>
      </c>
      <c r="H2243">
        <v>1.98</v>
      </c>
      <c r="I2243">
        <v>1.73</v>
      </c>
      <c r="J2243">
        <v>0.2</v>
      </c>
      <c r="K2243">
        <v>0.05</v>
      </c>
    </row>
    <row r="2244" spans="1:11" x14ac:dyDescent="0.35">
      <c r="A2244" s="204">
        <v>40079</v>
      </c>
      <c r="B2244" s="544">
        <v>2.25</v>
      </c>
      <c r="C2244">
        <v>3.7</v>
      </c>
      <c r="D2244">
        <v>4.3499999999999996</v>
      </c>
      <c r="E2244">
        <v>5.49</v>
      </c>
      <c r="F2244">
        <v>0.28000000000000003</v>
      </c>
      <c r="G2244">
        <v>1.48</v>
      </c>
      <c r="H2244">
        <v>1.98</v>
      </c>
      <c r="I2244">
        <v>1.73</v>
      </c>
      <c r="J2244">
        <v>0.2</v>
      </c>
      <c r="K2244">
        <v>0.05</v>
      </c>
    </row>
    <row r="2245" spans="1:11" x14ac:dyDescent="0.35">
      <c r="A2245" s="204">
        <v>40086</v>
      </c>
      <c r="B2245" s="544">
        <v>2.25</v>
      </c>
      <c r="C2245">
        <v>3.7</v>
      </c>
      <c r="D2245">
        <v>4.3499999999999996</v>
      </c>
      <c r="E2245">
        <v>5.49</v>
      </c>
      <c r="F2245">
        <v>0.28000000000000003</v>
      </c>
      <c r="G2245">
        <v>1.48</v>
      </c>
      <c r="H2245">
        <v>1.98</v>
      </c>
      <c r="I2245">
        <v>1.73</v>
      </c>
      <c r="J2245">
        <v>0.2</v>
      </c>
      <c r="K2245">
        <v>0.05</v>
      </c>
    </row>
    <row r="2246" spans="1:11" x14ac:dyDescent="0.35">
      <c r="A2246" s="204">
        <v>40093</v>
      </c>
      <c r="B2246" s="544">
        <v>2.25</v>
      </c>
      <c r="C2246">
        <v>3.7</v>
      </c>
      <c r="D2246">
        <v>4.3499999999999996</v>
      </c>
      <c r="E2246">
        <v>5.49</v>
      </c>
      <c r="F2246">
        <v>0.28000000000000003</v>
      </c>
      <c r="G2246">
        <v>1.48</v>
      </c>
      <c r="H2246">
        <v>1.98</v>
      </c>
      <c r="I2246">
        <v>1.73</v>
      </c>
      <c r="J2246">
        <v>0.2</v>
      </c>
      <c r="K2246">
        <v>0.05</v>
      </c>
    </row>
    <row r="2247" spans="1:11" x14ac:dyDescent="0.35">
      <c r="A2247" s="204">
        <v>40100</v>
      </c>
      <c r="B2247" s="544">
        <v>2.25</v>
      </c>
      <c r="C2247">
        <v>3.8</v>
      </c>
      <c r="D2247">
        <v>4.45</v>
      </c>
      <c r="E2247">
        <v>5.84</v>
      </c>
      <c r="F2247">
        <v>0.28000000000000003</v>
      </c>
      <c r="G2247">
        <v>1.48</v>
      </c>
      <c r="H2247">
        <v>1.98</v>
      </c>
      <c r="I2247">
        <v>1.73</v>
      </c>
      <c r="J2247">
        <v>0.2</v>
      </c>
      <c r="K2247">
        <v>0.05</v>
      </c>
    </row>
    <row r="2248" spans="1:11" x14ac:dyDescent="0.35">
      <c r="A2248" s="204">
        <v>40107</v>
      </c>
      <c r="B2248" s="544">
        <v>2.25</v>
      </c>
      <c r="C2248">
        <v>3.8</v>
      </c>
      <c r="D2248">
        <v>4.45</v>
      </c>
      <c r="E2248">
        <v>5.84</v>
      </c>
      <c r="F2248">
        <v>0.28000000000000003</v>
      </c>
      <c r="G2248">
        <v>1.48</v>
      </c>
      <c r="H2248">
        <v>1.98</v>
      </c>
      <c r="I2248">
        <v>1.73</v>
      </c>
      <c r="J2248">
        <v>0.2</v>
      </c>
      <c r="K2248">
        <v>0.05</v>
      </c>
    </row>
    <row r="2249" spans="1:11" x14ac:dyDescent="0.35">
      <c r="A2249" s="204">
        <v>40114</v>
      </c>
      <c r="B2249" s="544">
        <v>2.25</v>
      </c>
      <c r="C2249">
        <v>3.8</v>
      </c>
      <c r="D2249">
        <v>4.45</v>
      </c>
      <c r="E2249">
        <v>5.84</v>
      </c>
      <c r="F2249">
        <v>0.28000000000000003</v>
      </c>
      <c r="G2249">
        <v>1.48</v>
      </c>
      <c r="H2249">
        <v>1.98</v>
      </c>
      <c r="I2249">
        <v>1.73</v>
      </c>
      <c r="J2249">
        <v>0.2</v>
      </c>
      <c r="K2249">
        <v>0.05</v>
      </c>
    </row>
    <row r="2250" spans="1:11" x14ac:dyDescent="0.35">
      <c r="A2250" s="204">
        <v>40121</v>
      </c>
      <c r="B2250" s="544">
        <v>2.25</v>
      </c>
      <c r="C2250">
        <v>3.8</v>
      </c>
      <c r="D2250">
        <v>4.45</v>
      </c>
      <c r="E2250">
        <v>5.84</v>
      </c>
      <c r="F2250">
        <v>0.28000000000000003</v>
      </c>
      <c r="G2250">
        <v>1.48</v>
      </c>
      <c r="H2250">
        <v>1.98</v>
      </c>
      <c r="I2250">
        <v>1.73</v>
      </c>
      <c r="J2250">
        <v>0.2</v>
      </c>
      <c r="K2250">
        <v>0.05</v>
      </c>
    </row>
    <row r="2251" spans="1:11" x14ac:dyDescent="0.35">
      <c r="A2251" s="204">
        <v>40128</v>
      </c>
      <c r="B2251" s="544">
        <v>2.25</v>
      </c>
      <c r="C2251">
        <v>3.8</v>
      </c>
      <c r="D2251">
        <v>4.45</v>
      </c>
      <c r="E2251">
        <v>5.84</v>
      </c>
      <c r="F2251">
        <v>0.28000000000000003</v>
      </c>
      <c r="G2251">
        <v>1.48</v>
      </c>
      <c r="H2251">
        <v>1.98</v>
      </c>
      <c r="I2251">
        <v>1.73</v>
      </c>
      <c r="J2251">
        <v>0.2</v>
      </c>
      <c r="K2251">
        <v>0.05</v>
      </c>
    </row>
    <row r="2252" spans="1:11" x14ac:dyDescent="0.35">
      <c r="A2252" s="204">
        <v>40135</v>
      </c>
      <c r="B2252" s="544">
        <v>2.25</v>
      </c>
      <c r="C2252">
        <v>3.8</v>
      </c>
      <c r="D2252">
        <v>4.45</v>
      </c>
      <c r="E2252">
        <v>5.84</v>
      </c>
      <c r="F2252">
        <v>0.28000000000000003</v>
      </c>
      <c r="G2252">
        <v>1.48</v>
      </c>
      <c r="H2252">
        <v>1.98</v>
      </c>
      <c r="I2252">
        <v>1.73</v>
      </c>
      <c r="J2252">
        <v>0.2</v>
      </c>
      <c r="K2252">
        <v>0.05</v>
      </c>
    </row>
    <row r="2253" spans="1:11" x14ac:dyDescent="0.35">
      <c r="A2253" s="204">
        <v>40142</v>
      </c>
      <c r="B2253" s="544">
        <v>2.25</v>
      </c>
      <c r="C2253">
        <v>3.6</v>
      </c>
      <c r="D2253">
        <v>4.25</v>
      </c>
      <c r="E2253">
        <v>5.59</v>
      </c>
      <c r="F2253">
        <v>0.28000000000000003</v>
      </c>
      <c r="G2253">
        <v>1.33</v>
      </c>
      <c r="H2253">
        <v>1.98</v>
      </c>
      <c r="I2253">
        <v>1.75</v>
      </c>
      <c r="J2253">
        <v>0.2</v>
      </c>
      <c r="K2253">
        <v>0.05</v>
      </c>
    </row>
    <row r="2254" spans="1:11" x14ac:dyDescent="0.35">
      <c r="A2254" s="204">
        <v>40149</v>
      </c>
      <c r="B2254" s="544">
        <v>2.25</v>
      </c>
      <c r="C2254">
        <v>3.6</v>
      </c>
      <c r="D2254">
        <v>4.25</v>
      </c>
      <c r="E2254">
        <v>5.59</v>
      </c>
      <c r="F2254">
        <v>0.28000000000000003</v>
      </c>
      <c r="G2254">
        <v>1.33</v>
      </c>
      <c r="H2254">
        <v>1.88</v>
      </c>
      <c r="I2254">
        <v>1.63</v>
      </c>
      <c r="J2254">
        <v>0.2</v>
      </c>
      <c r="K2254">
        <v>0.05</v>
      </c>
    </row>
    <row r="2255" spans="1:11" x14ac:dyDescent="0.35">
      <c r="A2255" s="204">
        <v>40156</v>
      </c>
      <c r="B2255" s="544">
        <v>2.25</v>
      </c>
      <c r="C2255">
        <v>3.6</v>
      </c>
      <c r="D2255">
        <v>4.25</v>
      </c>
      <c r="E2255">
        <v>5.59</v>
      </c>
      <c r="F2255">
        <v>0.28000000000000003</v>
      </c>
      <c r="G2255">
        <v>1.33</v>
      </c>
      <c r="H2255">
        <v>1.88</v>
      </c>
      <c r="I2255">
        <v>1.63</v>
      </c>
      <c r="J2255">
        <v>0.2</v>
      </c>
      <c r="K2255">
        <v>0.05</v>
      </c>
    </row>
    <row r="2256" spans="1:11" x14ac:dyDescent="0.35">
      <c r="A2256" s="204">
        <v>40163</v>
      </c>
      <c r="B2256" s="544">
        <v>2.25</v>
      </c>
      <c r="C2256">
        <v>3.6</v>
      </c>
      <c r="D2256">
        <v>4.25</v>
      </c>
      <c r="E2256">
        <v>5.49</v>
      </c>
      <c r="F2256">
        <v>0.28000000000000003</v>
      </c>
      <c r="G2256">
        <v>1.33</v>
      </c>
      <c r="H2256">
        <v>1.88</v>
      </c>
      <c r="I2256">
        <v>1.63</v>
      </c>
      <c r="J2256">
        <v>0.2</v>
      </c>
      <c r="K2256">
        <v>0.05</v>
      </c>
    </row>
    <row r="2257" spans="1:11" x14ac:dyDescent="0.35">
      <c r="A2257" s="204">
        <v>40170</v>
      </c>
      <c r="B2257" s="544">
        <v>2.25</v>
      </c>
      <c r="C2257">
        <v>3.6</v>
      </c>
      <c r="D2257">
        <v>4.25</v>
      </c>
      <c r="E2257">
        <v>5.49</v>
      </c>
      <c r="F2257">
        <v>0.28000000000000003</v>
      </c>
      <c r="G2257">
        <v>1.33</v>
      </c>
      <c r="H2257">
        <v>1.88</v>
      </c>
      <c r="I2257">
        <v>1.63</v>
      </c>
      <c r="J2257">
        <v>0.2</v>
      </c>
      <c r="K2257">
        <v>0.05</v>
      </c>
    </row>
    <row r="2258" spans="1:11" x14ac:dyDescent="0.35">
      <c r="A2258" s="204">
        <v>40177</v>
      </c>
      <c r="B2258" s="544">
        <v>2.25</v>
      </c>
      <c r="C2258">
        <v>3.6</v>
      </c>
      <c r="D2258">
        <v>4.25</v>
      </c>
      <c r="E2258">
        <v>5.49</v>
      </c>
      <c r="F2258">
        <v>0.28000000000000003</v>
      </c>
      <c r="G2258">
        <v>1.33</v>
      </c>
      <c r="H2258">
        <v>1.88</v>
      </c>
      <c r="I2258">
        <v>1.63</v>
      </c>
      <c r="J2258">
        <v>0.2</v>
      </c>
      <c r="K2258">
        <v>0.05</v>
      </c>
    </row>
    <row r="2259" spans="1:11" x14ac:dyDescent="0.35">
      <c r="A2259" s="204">
        <v>40184</v>
      </c>
      <c r="B2259" s="544">
        <v>2.25</v>
      </c>
      <c r="C2259">
        <v>3.6</v>
      </c>
      <c r="D2259">
        <v>4.25</v>
      </c>
      <c r="E2259">
        <v>5.49</v>
      </c>
      <c r="F2259">
        <v>0.28000000000000003</v>
      </c>
      <c r="G2259">
        <v>1.33</v>
      </c>
      <c r="H2259">
        <v>1.88</v>
      </c>
      <c r="I2259">
        <v>1.63</v>
      </c>
      <c r="J2259">
        <v>0.2</v>
      </c>
      <c r="K2259">
        <v>0.05</v>
      </c>
    </row>
    <row r="2260" spans="1:11" x14ac:dyDescent="0.35">
      <c r="A2260" s="204">
        <v>40191</v>
      </c>
      <c r="B2260" s="544">
        <v>2.25</v>
      </c>
      <c r="C2260">
        <v>3.6</v>
      </c>
      <c r="D2260">
        <v>4.25</v>
      </c>
      <c r="E2260">
        <v>5.49</v>
      </c>
      <c r="F2260">
        <v>0.28000000000000003</v>
      </c>
      <c r="G2260">
        <v>1.33</v>
      </c>
      <c r="H2260">
        <v>1.88</v>
      </c>
      <c r="I2260">
        <v>1.63</v>
      </c>
      <c r="J2260">
        <v>0.2</v>
      </c>
      <c r="K2260">
        <v>0.05</v>
      </c>
    </row>
    <row r="2261" spans="1:11" x14ac:dyDescent="0.35">
      <c r="A2261" s="204">
        <v>40198</v>
      </c>
      <c r="B2261" s="544">
        <v>2.25</v>
      </c>
      <c r="C2261">
        <v>3.6</v>
      </c>
      <c r="D2261">
        <v>4.25</v>
      </c>
      <c r="E2261">
        <v>5.49</v>
      </c>
      <c r="F2261">
        <v>0.28000000000000003</v>
      </c>
      <c r="G2261">
        <v>1.33</v>
      </c>
      <c r="H2261">
        <v>1.88</v>
      </c>
      <c r="I2261">
        <v>1.63</v>
      </c>
      <c r="J2261">
        <v>0.2</v>
      </c>
      <c r="K2261">
        <v>0.05</v>
      </c>
    </row>
    <row r="2262" spans="1:11" x14ac:dyDescent="0.35">
      <c r="A2262" s="204">
        <v>40205</v>
      </c>
      <c r="B2262" s="544">
        <v>2.25</v>
      </c>
      <c r="C2262">
        <v>3.6</v>
      </c>
      <c r="D2262">
        <v>4.25</v>
      </c>
      <c r="E2262">
        <v>5.49</v>
      </c>
      <c r="F2262">
        <v>0.28000000000000003</v>
      </c>
      <c r="G2262">
        <v>1.33</v>
      </c>
      <c r="H2262">
        <v>1.88</v>
      </c>
      <c r="I2262">
        <v>1.63</v>
      </c>
      <c r="J2262">
        <v>0.2</v>
      </c>
      <c r="K2262">
        <v>0.05</v>
      </c>
    </row>
    <row r="2263" spans="1:11" x14ac:dyDescent="0.35">
      <c r="A2263" s="204">
        <v>40212</v>
      </c>
      <c r="B2263" s="544">
        <v>2.25</v>
      </c>
      <c r="C2263">
        <v>3.6</v>
      </c>
      <c r="D2263">
        <v>4.1500000000000004</v>
      </c>
      <c r="E2263">
        <v>5.39</v>
      </c>
      <c r="F2263">
        <v>0.28000000000000003</v>
      </c>
      <c r="G2263">
        <v>1.33</v>
      </c>
      <c r="H2263">
        <v>1.88</v>
      </c>
      <c r="I2263">
        <v>1.63</v>
      </c>
      <c r="J2263">
        <v>0.2</v>
      </c>
      <c r="K2263">
        <v>0.05</v>
      </c>
    </row>
    <row r="2264" spans="1:11" x14ac:dyDescent="0.35">
      <c r="A2264" s="204">
        <v>40219</v>
      </c>
      <c r="B2264" s="544">
        <v>2.25</v>
      </c>
      <c r="C2264">
        <v>3.6</v>
      </c>
      <c r="D2264">
        <v>4.1500000000000004</v>
      </c>
      <c r="E2264">
        <v>5.39</v>
      </c>
      <c r="F2264">
        <v>0.28000000000000003</v>
      </c>
      <c r="G2264">
        <v>1.33</v>
      </c>
      <c r="H2264">
        <v>1.88</v>
      </c>
      <c r="I2264">
        <v>1.63</v>
      </c>
      <c r="J2264">
        <v>0.2</v>
      </c>
      <c r="K2264">
        <v>0.05</v>
      </c>
    </row>
    <row r="2265" spans="1:11" x14ac:dyDescent="0.35">
      <c r="A2265" s="204">
        <v>40226</v>
      </c>
      <c r="B2265" s="544">
        <v>2.25</v>
      </c>
      <c r="C2265">
        <v>3.6</v>
      </c>
      <c r="D2265">
        <v>4.1500000000000004</v>
      </c>
      <c r="E2265">
        <v>5.39</v>
      </c>
      <c r="F2265">
        <v>0.28000000000000003</v>
      </c>
      <c r="G2265">
        <v>1.33</v>
      </c>
      <c r="H2265">
        <v>1.88</v>
      </c>
      <c r="I2265">
        <v>1.63</v>
      </c>
      <c r="J2265">
        <v>0.2</v>
      </c>
      <c r="K2265">
        <v>0.05</v>
      </c>
    </row>
    <row r="2266" spans="1:11" x14ac:dyDescent="0.35">
      <c r="A2266" s="204">
        <v>40233</v>
      </c>
      <c r="B2266" s="544">
        <v>2.25</v>
      </c>
      <c r="C2266">
        <v>3.6</v>
      </c>
      <c r="D2266">
        <v>4.1500000000000004</v>
      </c>
      <c r="E2266">
        <v>5.39</v>
      </c>
      <c r="F2266">
        <v>0.28000000000000003</v>
      </c>
      <c r="G2266">
        <v>1.33</v>
      </c>
      <c r="H2266">
        <v>1.88</v>
      </c>
      <c r="I2266">
        <v>1.63</v>
      </c>
      <c r="J2266">
        <v>0.2</v>
      </c>
      <c r="K2266">
        <v>0.05</v>
      </c>
    </row>
    <row r="2267" spans="1:11" x14ac:dyDescent="0.35">
      <c r="A2267" s="204">
        <v>40240</v>
      </c>
      <c r="B2267" s="544">
        <v>2.25</v>
      </c>
      <c r="C2267">
        <v>3.6</v>
      </c>
      <c r="D2267">
        <v>4.1500000000000004</v>
      </c>
      <c r="E2267">
        <v>5.39</v>
      </c>
      <c r="F2267">
        <v>0.28000000000000003</v>
      </c>
      <c r="G2267">
        <v>1.33</v>
      </c>
      <c r="H2267">
        <v>1.88</v>
      </c>
      <c r="I2267">
        <v>1.75</v>
      </c>
      <c r="J2267">
        <v>0.2</v>
      </c>
      <c r="K2267">
        <v>0.05</v>
      </c>
    </row>
    <row r="2268" spans="1:11" x14ac:dyDescent="0.35">
      <c r="A2268" s="204">
        <v>40247</v>
      </c>
      <c r="B2268" s="544">
        <v>2.25</v>
      </c>
      <c r="C2268">
        <v>3.6</v>
      </c>
      <c r="D2268">
        <v>4.1500000000000004</v>
      </c>
      <c r="E2268">
        <v>5.39</v>
      </c>
      <c r="F2268">
        <v>0.28000000000000003</v>
      </c>
      <c r="G2268">
        <v>1.33</v>
      </c>
      <c r="H2268">
        <v>1.88</v>
      </c>
      <c r="I2268">
        <v>1.75</v>
      </c>
      <c r="J2268">
        <v>0.2</v>
      </c>
      <c r="K2268">
        <v>0.05</v>
      </c>
    </row>
    <row r="2269" spans="1:11" x14ac:dyDescent="0.35">
      <c r="A2269" s="204">
        <v>40254</v>
      </c>
      <c r="B2269" s="544">
        <v>2.25</v>
      </c>
      <c r="C2269">
        <v>3.6</v>
      </c>
      <c r="D2269">
        <v>4.1500000000000004</v>
      </c>
      <c r="E2269">
        <v>5.25</v>
      </c>
      <c r="F2269">
        <v>0.28000000000000003</v>
      </c>
      <c r="G2269">
        <v>1.33</v>
      </c>
      <c r="H2269">
        <v>1.88</v>
      </c>
      <c r="I2269">
        <v>1.75</v>
      </c>
      <c r="J2269">
        <v>0.2</v>
      </c>
      <c r="K2269">
        <v>0.05</v>
      </c>
    </row>
    <row r="2270" spans="1:11" x14ac:dyDescent="0.35">
      <c r="A2270" s="204">
        <v>40261</v>
      </c>
      <c r="B2270" s="544">
        <v>2.25</v>
      </c>
      <c r="C2270">
        <v>3.6</v>
      </c>
      <c r="D2270">
        <v>4.1500000000000004</v>
      </c>
      <c r="E2270">
        <v>5.25</v>
      </c>
      <c r="F2270">
        <v>0.28000000000000003</v>
      </c>
      <c r="G2270">
        <v>1.33</v>
      </c>
      <c r="H2270">
        <v>1.88</v>
      </c>
      <c r="I2270">
        <v>1.75</v>
      </c>
      <c r="J2270">
        <v>0.2</v>
      </c>
      <c r="K2270">
        <v>0.05</v>
      </c>
    </row>
    <row r="2271" spans="1:11" x14ac:dyDescent="0.35">
      <c r="A2271" s="204">
        <v>40268</v>
      </c>
      <c r="B2271" s="544">
        <v>2.25</v>
      </c>
      <c r="C2271">
        <v>3.6</v>
      </c>
      <c r="D2271">
        <v>4.3499999999999996</v>
      </c>
      <c r="E2271">
        <v>5.85</v>
      </c>
      <c r="F2271">
        <v>0.28000000000000003</v>
      </c>
      <c r="G2271">
        <v>1.33</v>
      </c>
      <c r="H2271">
        <v>1.88</v>
      </c>
      <c r="I2271">
        <v>1.75</v>
      </c>
      <c r="J2271">
        <v>0.2</v>
      </c>
      <c r="K2271">
        <v>0.05</v>
      </c>
    </row>
    <row r="2272" spans="1:11" x14ac:dyDescent="0.35">
      <c r="A2272" s="204">
        <v>40275</v>
      </c>
      <c r="B2272" s="544">
        <v>2.25</v>
      </c>
      <c r="C2272">
        <v>3.6</v>
      </c>
      <c r="D2272">
        <v>4.3499999999999996</v>
      </c>
      <c r="E2272">
        <v>5.85</v>
      </c>
      <c r="F2272">
        <v>0.28000000000000003</v>
      </c>
      <c r="G2272">
        <v>1.33</v>
      </c>
      <c r="H2272">
        <v>1.88</v>
      </c>
      <c r="I2272">
        <v>1.75</v>
      </c>
      <c r="J2272">
        <v>0.2</v>
      </c>
      <c r="K2272">
        <v>0.05</v>
      </c>
    </row>
    <row r="2273" spans="1:11" x14ac:dyDescent="0.35">
      <c r="A2273" s="204">
        <v>40282</v>
      </c>
      <c r="B2273" s="544">
        <v>2.25</v>
      </c>
      <c r="C2273">
        <v>3.6</v>
      </c>
      <c r="D2273">
        <v>4.3499999999999996</v>
      </c>
      <c r="E2273">
        <v>5.85</v>
      </c>
      <c r="F2273">
        <v>0.28000000000000003</v>
      </c>
      <c r="G2273">
        <v>1.33</v>
      </c>
      <c r="H2273">
        <v>1.88</v>
      </c>
      <c r="I2273">
        <v>1.75</v>
      </c>
      <c r="J2273">
        <v>0.2</v>
      </c>
      <c r="K2273">
        <v>0.05</v>
      </c>
    </row>
    <row r="2274" spans="1:11" x14ac:dyDescent="0.35">
      <c r="A2274" s="204">
        <v>40289</v>
      </c>
      <c r="B2274" s="544">
        <v>2.25</v>
      </c>
      <c r="C2274">
        <v>3.6</v>
      </c>
      <c r="D2274">
        <v>4.5999999999999996</v>
      </c>
      <c r="E2274">
        <v>6.1</v>
      </c>
      <c r="F2274">
        <v>0.28000000000000003</v>
      </c>
      <c r="G2274">
        <v>1.33</v>
      </c>
      <c r="H2274">
        <v>1.88</v>
      </c>
      <c r="I2274">
        <v>1.85</v>
      </c>
      <c r="J2274">
        <v>0.2</v>
      </c>
      <c r="K2274">
        <v>0.05</v>
      </c>
    </row>
    <row r="2275" spans="1:11" x14ac:dyDescent="0.35">
      <c r="A2275" s="204">
        <v>40296</v>
      </c>
      <c r="B2275" s="544">
        <v>2.25</v>
      </c>
      <c r="C2275">
        <v>3.8</v>
      </c>
      <c r="D2275">
        <v>4.75</v>
      </c>
      <c r="E2275">
        <v>6.25</v>
      </c>
      <c r="F2275">
        <v>0.75</v>
      </c>
      <c r="G2275">
        <v>1.43</v>
      </c>
      <c r="H2275">
        <v>1.98</v>
      </c>
      <c r="I2275">
        <v>1.85</v>
      </c>
      <c r="J2275">
        <v>0.2</v>
      </c>
      <c r="K2275">
        <v>0.05</v>
      </c>
    </row>
    <row r="2276" spans="1:11" x14ac:dyDescent="0.35">
      <c r="A2276" s="204">
        <v>40303</v>
      </c>
      <c r="B2276" s="544">
        <v>2.25</v>
      </c>
      <c r="C2276">
        <v>3.8</v>
      </c>
      <c r="D2276">
        <v>4.75</v>
      </c>
      <c r="E2276">
        <v>6.25</v>
      </c>
      <c r="F2276">
        <v>0.63</v>
      </c>
      <c r="G2276">
        <v>1.43</v>
      </c>
      <c r="H2276">
        <v>1.98</v>
      </c>
      <c r="I2276">
        <v>1.85</v>
      </c>
      <c r="J2276">
        <v>0.2</v>
      </c>
      <c r="K2276">
        <v>0.05</v>
      </c>
    </row>
    <row r="2277" spans="1:11" x14ac:dyDescent="0.35">
      <c r="A2277" s="204">
        <v>40310</v>
      </c>
      <c r="B2277" s="544">
        <v>2.25</v>
      </c>
      <c r="C2277">
        <v>3.7</v>
      </c>
      <c r="D2277">
        <v>4.75</v>
      </c>
      <c r="E2277">
        <v>6.1</v>
      </c>
      <c r="F2277">
        <v>0.63</v>
      </c>
      <c r="G2277">
        <v>1.43</v>
      </c>
      <c r="H2277">
        <v>1.98</v>
      </c>
      <c r="I2277">
        <v>2.35</v>
      </c>
      <c r="J2277">
        <v>0.2</v>
      </c>
      <c r="K2277">
        <v>0.05</v>
      </c>
    </row>
    <row r="2278" spans="1:11" x14ac:dyDescent="0.35">
      <c r="A2278" s="204">
        <v>40317</v>
      </c>
      <c r="B2278" s="544">
        <v>2.25</v>
      </c>
      <c r="C2278">
        <v>3.7</v>
      </c>
      <c r="D2278">
        <v>4.5999999999999996</v>
      </c>
      <c r="E2278">
        <v>6.1</v>
      </c>
      <c r="F2278">
        <v>0.63</v>
      </c>
      <c r="G2278">
        <v>1.43</v>
      </c>
      <c r="H2278">
        <v>1.98</v>
      </c>
      <c r="I2278">
        <v>2.35</v>
      </c>
      <c r="J2278">
        <v>0.2</v>
      </c>
      <c r="K2278">
        <v>0.05</v>
      </c>
    </row>
    <row r="2279" spans="1:11" x14ac:dyDescent="0.35">
      <c r="A2279" s="204">
        <v>40324</v>
      </c>
      <c r="B2279" s="544">
        <v>2.25</v>
      </c>
      <c r="C2279">
        <v>3.7</v>
      </c>
      <c r="D2279">
        <v>4.5999999999999996</v>
      </c>
      <c r="E2279">
        <v>5.99</v>
      </c>
      <c r="F2279">
        <v>0.63</v>
      </c>
      <c r="G2279">
        <v>1.43</v>
      </c>
      <c r="H2279">
        <v>1.98</v>
      </c>
      <c r="I2279">
        <v>2.35</v>
      </c>
      <c r="J2279">
        <v>0.2</v>
      </c>
      <c r="K2279">
        <v>0.05</v>
      </c>
    </row>
    <row r="2280" spans="1:11" x14ac:dyDescent="0.35">
      <c r="A2280" s="204">
        <v>40331</v>
      </c>
      <c r="B2280" s="544">
        <v>2.5</v>
      </c>
      <c r="C2280">
        <v>3.7</v>
      </c>
      <c r="D2280">
        <v>4.5999999999999996</v>
      </c>
      <c r="E2280">
        <v>5.99</v>
      </c>
      <c r="F2280">
        <v>0.63</v>
      </c>
      <c r="G2280">
        <v>1.43</v>
      </c>
      <c r="H2280">
        <v>1.98</v>
      </c>
      <c r="I2280">
        <v>2.35</v>
      </c>
      <c r="J2280">
        <v>0.2</v>
      </c>
      <c r="K2280">
        <v>0.05</v>
      </c>
    </row>
    <row r="2281" spans="1:11" x14ac:dyDescent="0.35">
      <c r="A2281" s="204">
        <v>40338</v>
      </c>
      <c r="B2281" s="544">
        <v>2.5</v>
      </c>
      <c r="C2281">
        <v>3.7</v>
      </c>
      <c r="D2281">
        <v>4.5999999999999996</v>
      </c>
      <c r="E2281">
        <v>5.99</v>
      </c>
      <c r="F2281">
        <v>0.63</v>
      </c>
      <c r="G2281">
        <v>1.43</v>
      </c>
      <c r="H2281">
        <v>1.98</v>
      </c>
      <c r="I2281">
        <v>1.85</v>
      </c>
      <c r="J2281">
        <v>0.2</v>
      </c>
      <c r="K2281">
        <v>0.05</v>
      </c>
    </row>
    <row r="2282" spans="1:11" x14ac:dyDescent="0.35">
      <c r="A2282" s="204">
        <v>40345</v>
      </c>
      <c r="B2282" s="544">
        <v>2.5</v>
      </c>
      <c r="C2282">
        <v>3.7</v>
      </c>
      <c r="D2282">
        <v>4.5999999999999996</v>
      </c>
      <c r="E2282">
        <v>5.99</v>
      </c>
      <c r="F2282">
        <v>1</v>
      </c>
      <c r="G2282">
        <v>1.43</v>
      </c>
      <c r="H2282">
        <v>1.98</v>
      </c>
      <c r="I2282">
        <v>2.35</v>
      </c>
      <c r="J2282">
        <v>0.2</v>
      </c>
      <c r="K2282">
        <v>0.05</v>
      </c>
    </row>
    <row r="2283" spans="1:11" x14ac:dyDescent="0.35">
      <c r="A2283" s="204">
        <v>40352</v>
      </c>
      <c r="B2283" s="544">
        <v>2.5</v>
      </c>
      <c r="C2283">
        <v>3.7</v>
      </c>
      <c r="D2283">
        <v>4.5999999999999996</v>
      </c>
      <c r="E2283">
        <v>5.99</v>
      </c>
      <c r="F2283">
        <v>0.88</v>
      </c>
      <c r="G2283">
        <v>1.43</v>
      </c>
      <c r="H2283">
        <v>1.98</v>
      </c>
      <c r="I2283">
        <v>1.85</v>
      </c>
      <c r="J2283">
        <v>0.2</v>
      </c>
      <c r="K2283">
        <v>0.05</v>
      </c>
    </row>
    <row r="2284" spans="1:11" x14ac:dyDescent="0.35">
      <c r="A2284" s="204">
        <v>40359</v>
      </c>
      <c r="B2284" s="544">
        <v>2.5</v>
      </c>
      <c r="C2284">
        <v>3.6</v>
      </c>
      <c r="D2284">
        <v>4.5</v>
      </c>
      <c r="E2284">
        <v>5.89</v>
      </c>
      <c r="F2284">
        <v>0.88</v>
      </c>
      <c r="G2284">
        <v>1.43</v>
      </c>
      <c r="H2284">
        <v>2.1</v>
      </c>
      <c r="I2284">
        <v>1.85</v>
      </c>
      <c r="J2284">
        <v>0.2</v>
      </c>
      <c r="K2284">
        <v>0.05</v>
      </c>
    </row>
    <row r="2285" spans="1:11" x14ac:dyDescent="0.35">
      <c r="A2285" s="204">
        <v>40366</v>
      </c>
      <c r="B2285" s="544">
        <v>2.5</v>
      </c>
      <c r="C2285">
        <v>3.5</v>
      </c>
      <c r="D2285">
        <v>4.4000000000000004</v>
      </c>
      <c r="E2285">
        <v>5.79</v>
      </c>
      <c r="F2285">
        <v>0.88</v>
      </c>
      <c r="G2285">
        <v>1.55</v>
      </c>
      <c r="H2285">
        <v>2.1</v>
      </c>
      <c r="I2285">
        <v>1.85</v>
      </c>
      <c r="J2285">
        <v>0.2</v>
      </c>
      <c r="K2285">
        <v>0.05</v>
      </c>
    </row>
    <row r="2286" spans="1:11" x14ac:dyDescent="0.35">
      <c r="A2286" s="204">
        <v>40373</v>
      </c>
      <c r="B2286" s="544">
        <v>2.5</v>
      </c>
      <c r="C2286">
        <v>3.5</v>
      </c>
      <c r="D2286">
        <v>4.4000000000000004</v>
      </c>
      <c r="E2286">
        <v>5.79</v>
      </c>
      <c r="F2286">
        <v>0.63</v>
      </c>
      <c r="G2286">
        <v>1.43</v>
      </c>
      <c r="H2286">
        <v>1.98</v>
      </c>
      <c r="I2286">
        <v>1.85</v>
      </c>
      <c r="J2286">
        <v>0.2</v>
      </c>
      <c r="K2286">
        <v>0.05</v>
      </c>
    </row>
    <row r="2287" spans="1:11" x14ac:dyDescent="0.35">
      <c r="A2287" s="204">
        <v>40380</v>
      </c>
      <c r="B2287" s="544">
        <v>2.75</v>
      </c>
      <c r="C2287">
        <v>3.5</v>
      </c>
      <c r="D2287">
        <v>4.4000000000000004</v>
      </c>
      <c r="E2287">
        <v>5.79</v>
      </c>
      <c r="F2287">
        <v>0.63</v>
      </c>
      <c r="G2287">
        <v>1.43</v>
      </c>
      <c r="H2287">
        <v>1.98</v>
      </c>
      <c r="I2287">
        <v>1.85</v>
      </c>
      <c r="J2287">
        <v>0.2</v>
      </c>
      <c r="K2287">
        <v>0.05</v>
      </c>
    </row>
    <row r="2288" spans="1:11" x14ac:dyDescent="0.35">
      <c r="A2288" s="204">
        <v>40387</v>
      </c>
      <c r="B2288" s="544">
        <v>2.75</v>
      </c>
      <c r="C2288">
        <v>3.5</v>
      </c>
      <c r="D2288">
        <v>4.4000000000000004</v>
      </c>
      <c r="E2288">
        <v>5.79</v>
      </c>
      <c r="F2288">
        <v>0.63</v>
      </c>
      <c r="G2288">
        <v>1.43</v>
      </c>
      <c r="H2288">
        <v>1.98</v>
      </c>
      <c r="I2288">
        <v>1.85</v>
      </c>
      <c r="J2288">
        <v>0.2</v>
      </c>
      <c r="K2288">
        <v>0.05</v>
      </c>
    </row>
    <row r="2289" spans="1:11" x14ac:dyDescent="0.35">
      <c r="A2289" s="204">
        <v>40394</v>
      </c>
      <c r="B2289" s="544">
        <v>2.75</v>
      </c>
      <c r="C2289">
        <v>3.5</v>
      </c>
      <c r="D2289">
        <v>4.4000000000000004</v>
      </c>
      <c r="E2289">
        <v>5.79</v>
      </c>
      <c r="F2289">
        <v>0.63</v>
      </c>
      <c r="G2289">
        <v>1.43</v>
      </c>
      <c r="H2289">
        <v>1.98</v>
      </c>
      <c r="I2289">
        <v>1.85</v>
      </c>
      <c r="J2289">
        <v>0.25</v>
      </c>
      <c r="K2289">
        <v>0.05</v>
      </c>
    </row>
    <row r="2290" spans="1:11" x14ac:dyDescent="0.35">
      <c r="A2290" s="204">
        <v>40401</v>
      </c>
      <c r="B2290" s="544">
        <v>2.75</v>
      </c>
      <c r="C2290">
        <v>3.3</v>
      </c>
      <c r="D2290">
        <v>4.2</v>
      </c>
      <c r="E2290">
        <v>5.59</v>
      </c>
      <c r="F2290">
        <v>0.63</v>
      </c>
      <c r="G2290">
        <v>1.43</v>
      </c>
      <c r="H2290">
        <v>1.98</v>
      </c>
      <c r="I2290">
        <v>1.85</v>
      </c>
      <c r="J2290">
        <v>0.25</v>
      </c>
      <c r="K2290">
        <v>0.05</v>
      </c>
    </row>
    <row r="2291" spans="1:11" x14ac:dyDescent="0.35">
      <c r="A2291" s="204">
        <v>40408</v>
      </c>
      <c r="B2291" s="544">
        <v>2.75</v>
      </c>
      <c r="C2291">
        <v>3.3</v>
      </c>
      <c r="D2291">
        <v>4.0999999999999996</v>
      </c>
      <c r="E2291">
        <v>5.49</v>
      </c>
      <c r="F2291">
        <v>0.63</v>
      </c>
      <c r="G2291">
        <v>1.43</v>
      </c>
      <c r="H2291">
        <v>1.98</v>
      </c>
      <c r="I2291">
        <v>1.75</v>
      </c>
      <c r="J2291">
        <v>0.25</v>
      </c>
      <c r="K2291">
        <v>0.05</v>
      </c>
    </row>
    <row r="2292" spans="1:11" x14ac:dyDescent="0.35">
      <c r="A2292" s="204">
        <v>40415</v>
      </c>
      <c r="B2292" s="544">
        <v>2.75</v>
      </c>
      <c r="C2292">
        <v>3.3</v>
      </c>
      <c r="D2292">
        <v>4.0999999999999996</v>
      </c>
      <c r="E2292">
        <v>5.39</v>
      </c>
      <c r="F2292">
        <v>0.63</v>
      </c>
      <c r="G2292">
        <v>1.43</v>
      </c>
      <c r="H2292">
        <v>1.98</v>
      </c>
      <c r="I2292">
        <v>1.75</v>
      </c>
      <c r="J2292">
        <v>0.25</v>
      </c>
      <c r="K2292">
        <v>0.05</v>
      </c>
    </row>
    <row r="2293" spans="1:11" x14ac:dyDescent="0.35">
      <c r="A2293" s="204">
        <v>40422</v>
      </c>
      <c r="B2293" s="544">
        <v>2.75</v>
      </c>
      <c r="C2293">
        <v>3.3</v>
      </c>
      <c r="D2293">
        <v>4.0999999999999996</v>
      </c>
      <c r="E2293">
        <v>5.39</v>
      </c>
      <c r="F2293">
        <v>0.75</v>
      </c>
      <c r="G2293">
        <v>1.43</v>
      </c>
      <c r="H2293">
        <v>1.98</v>
      </c>
      <c r="I2293">
        <v>1.85</v>
      </c>
      <c r="J2293">
        <v>0.25</v>
      </c>
      <c r="K2293">
        <v>0.05</v>
      </c>
    </row>
    <row r="2294" spans="1:11" x14ac:dyDescent="0.35">
      <c r="A2294" s="204">
        <v>40429</v>
      </c>
      <c r="B2294" s="544">
        <v>2.75</v>
      </c>
      <c r="C2294">
        <v>3.3</v>
      </c>
      <c r="D2294">
        <v>4.0999999999999996</v>
      </c>
      <c r="E2294">
        <v>5.39</v>
      </c>
      <c r="F2294">
        <v>0.75</v>
      </c>
      <c r="G2294">
        <v>1.43</v>
      </c>
      <c r="H2294">
        <v>1.98</v>
      </c>
      <c r="I2294">
        <v>1.85</v>
      </c>
      <c r="J2294">
        <v>0.25</v>
      </c>
      <c r="K2294">
        <v>0.05</v>
      </c>
    </row>
    <row r="2295" spans="1:11" x14ac:dyDescent="0.35">
      <c r="A2295" s="204">
        <v>40436</v>
      </c>
      <c r="B2295" s="544">
        <v>3</v>
      </c>
      <c r="C2295">
        <v>3.3</v>
      </c>
      <c r="D2295">
        <v>4.0999999999999996</v>
      </c>
      <c r="E2295">
        <v>5.39</v>
      </c>
      <c r="F2295">
        <v>0.63</v>
      </c>
      <c r="G2295">
        <v>1.43</v>
      </c>
      <c r="H2295">
        <v>1.98</v>
      </c>
      <c r="I2295">
        <v>1.85</v>
      </c>
      <c r="J2295">
        <v>0.25</v>
      </c>
      <c r="K2295">
        <v>0.05</v>
      </c>
    </row>
    <row r="2296" spans="1:11" x14ac:dyDescent="0.35">
      <c r="A2296" s="204">
        <v>40443</v>
      </c>
      <c r="B2296" s="544">
        <v>3</v>
      </c>
      <c r="C2296">
        <v>3.3</v>
      </c>
      <c r="D2296">
        <v>4.0999999999999996</v>
      </c>
      <c r="E2296">
        <v>5.39</v>
      </c>
      <c r="F2296">
        <v>0.63</v>
      </c>
      <c r="G2296">
        <v>1.43</v>
      </c>
      <c r="H2296">
        <v>1.98</v>
      </c>
      <c r="I2296">
        <v>1.85</v>
      </c>
      <c r="J2296">
        <v>0.25</v>
      </c>
      <c r="K2296">
        <v>0.05</v>
      </c>
    </row>
    <row r="2297" spans="1:11" x14ac:dyDescent="0.35">
      <c r="A2297" s="204">
        <v>40450</v>
      </c>
      <c r="B2297" s="544">
        <v>3</v>
      </c>
      <c r="C2297">
        <v>3.3</v>
      </c>
      <c r="D2297">
        <v>4.0999999999999996</v>
      </c>
      <c r="E2297">
        <v>5.39</v>
      </c>
      <c r="F2297">
        <v>0.63</v>
      </c>
      <c r="G2297">
        <v>1.43</v>
      </c>
      <c r="H2297">
        <v>1.98</v>
      </c>
      <c r="I2297">
        <v>1.85</v>
      </c>
      <c r="J2297">
        <v>0.25</v>
      </c>
      <c r="K2297">
        <v>0.05</v>
      </c>
    </row>
    <row r="2298" spans="1:11" x14ac:dyDescent="0.35">
      <c r="A2298" s="204">
        <v>40457</v>
      </c>
      <c r="B2298" s="544">
        <v>3</v>
      </c>
      <c r="C2298">
        <v>3.3</v>
      </c>
      <c r="D2298">
        <v>4.0999999999999996</v>
      </c>
      <c r="E2298">
        <v>5.39</v>
      </c>
      <c r="F2298">
        <v>0.63</v>
      </c>
      <c r="G2298">
        <v>1.43</v>
      </c>
      <c r="H2298">
        <v>1.98</v>
      </c>
      <c r="I2298">
        <v>1.85</v>
      </c>
      <c r="J2298">
        <v>0.25</v>
      </c>
      <c r="K2298">
        <v>0.05</v>
      </c>
    </row>
    <row r="2299" spans="1:11" x14ac:dyDescent="0.35">
      <c r="A2299" s="204">
        <v>40464</v>
      </c>
      <c r="B2299" s="544">
        <v>3</v>
      </c>
      <c r="C2299">
        <v>3.3</v>
      </c>
      <c r="D2299">
        <v>4.0999999999999996</v>
      </c>
      <c r="E2299">
        <v>5.29</v>
      </c>
      <c r="F2299">
        <v>0.63</v>
      </c>
      <c r="G2299">
        <v>1.43</v>
      </c>
      <c r="H2299">
        <v>1.98</v>
      </c>
      <c r="I2299">
        <v>1.85</v>
      </c>
      <c r="J2299">
        <v>0.25</v>
      </c>
      <c r="K2299">
        <v>0.05</v>
      </c>
    </row>
    <row r="2300" spans="1:11" x14ac:dyDescent="0.35">
      <c r="A2300" s="204">
        <v>40471</v>
      </c>
      <c r="B2300" s="544">
        <v>3</v>
      </c>
      <c r="C2300">
        <v>3.2</v>
      </c>
      <c r="D2300">
        <v>4</v>
      </c>
      <c r="E2300">
        <v>5.29</v>
      </c>
      <c r="F2300">
        <v>0.63</v>
      </c>
      <c r="G2300">
        <v>1.43</v>
      </c>
      <c r="H2300">
        <v>1.98</v>
      </c>
      <c r="I2300">
        <v>1.85</v>
      </c>
      <c r="J2300">
        <v>0.25</v>
      </c>
      <c r="K2300">
        <v>0.05</v>
      </c>
    </row>
    <row r="2301" spans="1:11" x14ac:dyDescent="0.35">
      <c r="A2301" s="204">
        <v>40478</v>
      </c>
      <c r="B2301" s="544">
        <v>3</v>
      </c>
      <c r="C2301">
        <v>3.2</v>
      </c>
      <c r="D2301">
        <v>4</v>
      </c>
      <c r="E2301">
        <v>5.29</v>
      </c>
      <c r="F2301">
        <v>0.63</v>
      </c>
      <c r="G2301">
        <v>1.43</v>
      </c>
      <c r="H2301">
        <v>1.98</v>
      </c>
      <c r="I2301">
        <v>1.85</v>
      </c>
      <c r="J2301">
        <v>0.25</v>
      </c>
      <c r="K2301">
        <v>0.05</v>
      </c>
    </row>
    <row r="2302" spans="1:11" x14ac:dyDescent="0.35">
      <c r="A2302" s="204">
        <v>40485</v>
      </c>
      <c r="B2302" s="544">
        <v>3</v>
      </c>
      <c r="C2302">
        <v>3.2</v>
      </c>
      <c r="D2302">
        <v>4</v>
      </c>
      <c r="E2302">
        <v>5.29</v>
      </c>
      <c r="F2302">
        <v>0.63</v>
      </c>
      <c r="G2302">
        <v>1.43</v>
      </c>
      <c r="H2302">
        <v>1.98</v>
      </c>
      <c r="I2302">
        <v>1.85</v>
      </c>
      <c r="J2302">
        <v>0.25</v>
      </c>
      <c r="K2302">
        <v>0.05</v>
      </c>
    </row>
    <row r="2303" spans="1:11" x14ac:dyDescent="0.35">
      <c r="A2303" s="204">
        <v>40492</v>
      </c>
      <c r="B2303" s="544">
        <v>3</v>
      </c>
      <c r="C2303">
        <v>3.2</v>
      </c>
      <c r="D2303">
        <v>4</v>
      </c>
      <c r="E2303">
        <v>5.19</v>
      </c>
      <c r="F2303">
        <v>0.63</v>
      </c>
      <c r="G2303">
        <v>1.43</v>
      </c>
      <c r="H2303">
        <v>1.98</v>
      </c>
      <c r="I2303">
        <v>1.85</v>
      </c>
      <c r="J2303">
        <v>0.25</v>
      </c>
      <c r="K2303">
        <v>0.05</v>
      </c>
    </row>
    <row r="2304" spans="1:11" x14ac:dyDescent="0.35">
      <c r="A2304" s="204">
        <v>40499</v>
      </c>
      <c r="B2304" s="544">
        <v>3</v>
      </c>
      <c r="C2304">
        <v>3.35</v>
      </c>
      <c r="D2304">
        <v>4</v>
      </c>
      <c r="E2304">
        <v>5.19</v>
      </c>
      <c r="F2304">
        <v>0.63</v>
      </c>
      <c r="G2304">
        <v>1.43</v>
      </c>
      <c r="H2304">
        <v>1.98</v>
      </c>
      <c r="I2304">
        <v>1.85</v>
      </c>
      <c r="J2304">
        <v>0.25</v>
      </c>
      <c r="K2304">
        <v>0.05</v>
      </c>
    </row>
    <row r="2305" spans="1:11" x14ac:dyDescent="0.35">
      <c r="A2305" s="204">
        <v>40506</v>
      </c>
      <c r="B2305" s="544">
        <v>3</v>
      </c>
      <c r="C2305">
        <v>3.35</v>
      </c>
      <c r="D2305">
        <v>4.25</v>
      </c>
      <c r="E2305">
        <v>5.44</v>
      </c>
      <c r="F2305">
        <v>0.63</v>
      </c>
      <c r="G2305">
        <v>1.43</v>
      </c>
      <c r="H2305">
        <v>1.98</v>
      </c>
      <c r="I2305">
        <v>1.85</v>
      </c>
      <c r="J2305">
        <v>0.25</v>
      </c>
      <c r="K2305">
        <v>0.05</v>
      </c>
    </row>
    <row r="2306" spans="1:11" x14ac:dyDescent="0.35">
      <c r="A2306" s="204">
        <v>40513</v>
      </c>
      <c r="B2306" s="544">
        <v>3</v>
      </c>
      <c r="C2306">
        <v>3.35</v>
      </c>
      <c r="D2306">
        <v>4.1500000000000004</v>
      </c>
      <c r="E2306">
        <v>5.19</v>
      </c>
      <c r="F2306">
        <v>0.63</v>
      </c>
      <c r="G2306">
        <v>1.43</v>
      </c>
      <c r="H2306">
        <v>1.98</v>
      </c>
      <c r="I2306">
        <v>2.0499999999999998</v>
      </c>
      <c r="J2306">
        <v>0.25</v>
      </c>
      <c r="K2306">
        <v>0.05</v>
      </c>
    </row>
    <row r="2307" spans="1:11" x14ac:dyDescent="0.35">
      <c r="A2307" s="204">
        <v>40520</v>
      </c>
      <c r="B2307" s="544">
        <v>3</v>
      </c>
      <c r="C2307">
        <v>3.35</v>
      </c>
      <c r="D2307">
        <v>4.1500000000000004</v>
      </c>
      <c r="E2307">
        <v>5.19</v>
      </c>
      <c r="F2307">
        <v>0.63</v>
      </c>
      <c r="G2307">
        <v>1.43</v>
      </c>
      <c r="H2307">
        <v>1.98</v>
      </c>
      <c r="I2307">
        <v>2.0499999999999998</v>
      </c>
      <c r="J2307">
        <v>0.25</v>
      </c>
      <c r="K2307">
        <v>0.05</v>
      </c>
    </row>
    <row r="2308" spans="1:11" x14ac:dyDescent="0.35">
      <c r="A2308" s="204">
        <v>40527</v>
      </c>
      <c r="B2308" s="544">
        <v>3</v>
      </c>
      <c r="C2308">
        <v>3.35</v>
      </c>
      <c r="D2308">
        <v>4.1500000000000004</v>
      </c>
      <c r="E2308">
        <v>5.19</v>
      </c>
      <c r="F2308">
        <v>0.63</v>
      </c>
      <c r="G2308">
        <v>1.43</v>
      </c>
      <c r="H2308">
        <v>1.98</v>
      </c>
      <c r="I2308">
        <v>2.0499999999999998</v>
      </c>
      <c r="J2308">
        <v>0.25</v>
      </c>
      <c r="K2308">
        <v>0.05</v>
      </c>
    </row>
    <row r="2309" spans="1:11" x14ac:dyDescent="0.35">
      <c r="A2309" s="204">
        <v>40534</v>
      </c>
      <c r="B2309" s="544">
        <v>3</v>
      </c>
      <c r="C2309">
        <v>3.35</v>
      </c>
      <c r="D2309">
        <v>4.1500000000000004</v>
      </c>
      <c r="E2309">
        <v>5.19</v>
      </c>
      <c r="F2309">
        <v>1.1499999999999999</v>
      </c>
      <c r="G2309">
        <v>1.43</v>
      </c>
      <c r="H2309">
        <v>1.98</v>
      </c>
      <c r="I2309">
        <v>1.85</v>
      </c>
      <c r="J2309">
        <v>0.25</v>
      </c>
      <c r="K2309">
        <v>0.05</v>
      </c>
    </row>
    <row r="2310" spans="1:11" x14ac:dyDescent="0.35">
      <c r="A2310" s="204">
        <v>40541</v>
      </c>
      <c r="B2310" s="544">
        <v>3</v>
      </c>
      <c r="C2310">
        <v>3.35</v>
      </c>
      <c r="D2310">
        <v>4.1500000000000004</v>
      </c>
      <c r="E2310">
        <v>5.19</v>
      </c>
      <c r="F2310">
        <v>1.1499999999999999</v>
      </c>
      <c r="G2310">
        <v>1.43</v>
      </c>
      <c r="H2310">
        <v>1.98</v>
      </c>
      <c r="I2310">
        <v>1.85</v>
      </c>
      <c r="J2310">
        <v>0.25</v>
      </c>
      <c r="K2310">
        <v>0.05</v>
      </c>
    </row>
    <row r="2311" spans="1:11" x14ac:dyDescent="0.35">
      <c r="A2311" s="204">
        <v>40548</v>
      </c>
      <c r="B2311" s="544">
        <v>3</v>
      </c>
      <c r="C2311">
        <v>3.35</v>
      </c>
      <c r="D2311">
        <v>4.1500000000000004</v>
      </c>
      <c r="E2311">
        <v>5.19</v>
      </c>
      <c r="F2311">
        <v>1.1499999999999999</v>
      </c>
      <c r="G2311">
        <v>1.43</v>
      </c>
      <c r="H2311">
        <v>1.98</v>
      </c>
      <c r="I2311">
        <v>1.85</v>
      </c>
      <c r="J2311">
        <v>0.25</v>
      </c>
      <c r="K2311">
        <v>0.05</v>
      </c>
    </row>
    <row r="2312" spans="1:11" x14ac:dyDescent="0.35">
      <c r="A2312" s="204">
        <v>40555</v>
      </c>
      <c r="B2312" s="544">
        <v>3</v>
      </c>
      <c r="C2312">
        <v>3.35</v>
      </c>
      <c r="D2312">
        <v>4.1500000000000004</v>
      </c>
      <c r="E2312">
        <v>5.19</v>
      </c>
      <c r="F2312">
        <v>1.1499999999999999</v>
      </c>
      <c r="G2312">
        <v>1.43</v>
      </c>
      <c r="H2312">
        <v>1.98</v>
      </c>
      <c r="I2312">
        <v>1.85</v>
      </c>
      <c r="J2312">
        <v>0.25</v>
      </c>
      <c r="K2312">
        <v>0.05</v>
      </c>
    </row>
    <row r="2313" spans="1:11" x14ac:dyDescent="0.35">
      <c r="A2313" s="204">
        <v>40562</v>
      </c>
      <c r="B2313" s="544">
        <v>3</v>
      </c>
      <c r="C2313">
        <v>3.35</v>
      </c>
      <c r="D2313">
        <v>4.1500000000000004</v>
      </c>
      <c r="E2313">
        <v>5.19</v>
      </c>
      <c r="F2313">
        <v>1.1499999999999999</v>
      </c>
      <c r="G2313">
        <v>1.43</v>
      </c>
      <c r="H2313">
        <v>1.98</v>
      </c>
      <c r="I2313">
        <v>1.85</v>
      </c>
      <c r="J2313">
        <v>0.25</v>
      </c>
      <c r="K2313">
        <v>0.05</v>
      </c>
    </row>
    <row r="2314" spans="1:11" x14ac:dyDescent="0.35">
      <c r="A2314" s="204">
        <v>40569</v>
      </c>
      <c r="B2314" s="544">
        <v>3</v>
      </c>
      <c r="C2314">
        <v>3.35</v>
      </c>
      <c r="D2314">
        <v>4.1500000000000004</v>
      </c>
      <c r="E2314">
        <v>5.19</v>
      </c>
      <c r="F2314">
        <v>1.1499999999999999</v>
      </c>
      <c r="G2314">
        <v>1.43</v>
      </c>
      <c r="H2314">
        <v>1.98</v>
      </c>
      <c r="I2314">
        <v>1.85</v>
      </c>
      <c r="J2314">
        <v>0.25</v>
      </c>
      <c r="K2314">
        <v>0.05</v>
      </c>
    </row>
    <row r="2315" spans="1:11" x14ac:dyDescent="0.35">
      <c r="A2315" s="204">
        <v>40576</v>
      </c>
      <c r="B2315" s="544">
        <v>3</v>
      </c>
      <c r="C2315">
        <v>3.35</v>
      </c>
      <c r="D2315">
        <v>4.1500000000000004</v>
      </c>
      <c r="E2315">
        <v>5.19</v>
      </c>
      <c r="F2315">
        <v>1.1499999999999999</v>
      </c>
      <c r="G2315">
        <v>1.43</v>
      </c>
      <c r="H2315">
        <v>1.98</v>
      </c>
      <c r="I2315">
        <v>1.85</v>
      </c>
      <c r="J2315">
        <v>0.25</v>
      </c>
      <c r="K2315">
        <v>0.05</v>
      </c>
    </row>
    <row r="2316" spans="1:11" x14ac:dyDescent="0.35">
      <c r="A2316" s="204">
        <v>40583</v>
      </c>
      <c r="B2316" s="544">
        <v>3</v>
      </c>
      <c r="C2316">
        <v>3.5</v>
      </c>
      <c r="D2316">
        <v>4.3499999999999996</v>
      </c>
      <c r="E2316">
        <v>5.44</v>
      </c>
      <c r="F2316">
        <v>1.1499999999999999</v>
      </c>
      <c r="G2316">
        <v>1.43</v>
      </c>
      <c r="H2316">
        <v>1.98</v>
      </c>
      <c r="I2316">
        <v>1.85</v>
      </c>
      <c r="J2316">
        <v>0.25</v>
      </c>
      <c r="K2316">
        <v>0.05</v>
      </c>
    </row>
    <row r="2317" spans="1:11" x14ac:dyDescent="0.35">
      <c r="A2317" s="204">
        <v>40590</v>
      </c>
      <c r="B2317" s="544">
        <v>3</v>
      </c>
      <c r="C2317">
        <v>3.5</v>
      </c>
      <c r="D2317">
        <v>4.3499999999999996</v>
      </c>
      <c r="E2317">
        <v>5.44</v>
      </c>
      <c r="F2317">
        <v>1.1499999999999999</v>
      </c>
      <c r="G2317">
        <v>1.43</v>
      </c>
      <c r="H2317">
        <v>1.98</v>
      </c>
      <c r="I2317">
        <v>1.85</v>
      </c>
      <c r="J2317">
        <v>0.25</v>
      </c>
      <c r="K2317">
        <v>0.05</v>
      </c>
    </row>
    <row r="2318" spans="1:11" x14ac:dyDescent="0.35">
      <c r="A2318" s="204">
        <v>40597</v>
      </c>
      <c r="B2318" s="544">
        <v>3</v>
      </c>
      <c r="C2318">
        <v>3.5</v>
      </c>
      <c r="D2318">
        <v>4.3499999999999996</v>
      </c>
      <c r="E2318">
        <v>5.44</v>
      </c>
      <c r="F2318">
        <v>1.1499999999999999</v>
      </c>
      <c r="G2318">
        <v>1.43</v>
      </c>
      <c r="H2318">
        <v>1.98</v>
      </c>
      <c r="I2318">
        <v>1.85</v>
      </c>
      <c r="J2318">
        <v>0.25</v>
      </c>
      <c r="K2318">
        <v>0.05</v>
      </c>
    </row>
    <row r="2319" spans="1:11" x14ac:dyDescent="0.35">
      <c r="A2319" s="204">
        <v>40604</v>
      </c>
      <c r="B2319" s="544">
        <v>3</v>
      </c>
      <c r="C2319">
        <v>3.5</v>
      </c>
      <c r="D2319">
        <v>4.3499999999999996</v>
      </c>
      <c r="E2319">
        <v>5.44</v>
      </c>
      <c r="F2319">
        <v>1.1499999999999999</v>
      </c>
      <c r="G2319">
        <v>1.43</v>
      </c>
      <c r="H2319">
        <v>1.98</v>
      </c>
      <c r="I2319">
        <v>1.85</v>
      </c>
      <c r="J2319">
        <v>0.25</v>
      </c>
      <c r="K2319">
        <v>0.05</v>
      </c>
    </row>
    <row r="2320" spans="1:11" x14ac:dyDescent="0.35">
      <c r="A2320" s="204">
        <v>40611</v>
      </c>
      <c r="B2320" s="544">
        <v>3</v>
      </c>
      <c r="C2320">
        <v>3.5</v>
      </c>
      <c r="D2320">
        <v>4.3499999999999996</v>
      </c>
      <c r="E2320">
        <v>5.44</v>
      </c>
      <c r="F2320">
        <v>1.1499999999999999</v>
      </c>
      <c r="G2320">
        <v>1.43</v>
      </c>
      <c r="H2320">
        <v>1.98</v>
      </c>
      <c r="I2320">
        <v>1.85</v>
      </c>
      <c r="J2320">
        <v>0.25</v>
      </c>
      <c r="K2320">
        <v>0.05</v>
      </c>
    </row>
    <row r="2321" spans="1:11" x14ac:dyDescent="0.35">
      <c r="A2321" s="204">
        <v>40618</v>
      </c>
      <c r="B2321" s="544">
        <v>3</v>
      </c>
      <c r="C2321">
        <v>3.5</v>
      </c>
      <c r="D2321">
        <v>4.3499999999999996</v>
      </c>
      <c r="E2321">
        <v>5.44</v>
      </c>
      <c r="F2321">
        <v>1.1499999999999999</v>
      </c>
      <c r="G2321">
        <v>1.43</v>
      </c>
      <c r="H2321">
        <v>1.98</v>
      </c>
      <c r="I2321">
        <v>1.85</v>
      </c>
      <c r="J2321">
        <v>0.25</v>
      </c>
      <c r="K2321">
        <v>0.05</v>
      </c>
    </row>
    <row r="2322" spans="1:11" x14ac:dyDescent="0.35">
      <c r="A2322" s="204">
        <v>40625</v>
      </c>
      <c r="B2322" s="544">
        <v>3</v>
      </c>
      <c r="C2322">
        <v>3.5</v>
      </c>
      <c r="D2322">
        <v>4.3499999999999996</v>
      </c>
      <c r="E2322">
        <v>5.34</v>
      </c>
      <c r="F2322">
        <v>1.1499999999999999</v>
      </c>
      <c r="G2322">
        <v>1.43</v>
      </c>
      <c r="H2322">
        <v>1.98</v>
      </c>
      <c r="I2322">
        <v>1.85</v>
      </c>
      <c r="J2322">
        <v>0.25</v>
      </c>
      <c r="K2322">
        <v>0.05</v>
      </c>
    </row>
    <row r="2323" spans="1:11" x14ac:dyDescent="0.35">
      <c r="A2323" s="204">
        <v>40632</v>
      </c>
      <c r="B2323" s="544">
        <v>3</v>
      </c>
      <c r="C2323">
        <v>3.5</v>
      </c>
      <c r="D2323">
        <v>4.3499999999999996</v>
      </c>
      <c r="E2323">
        <v>5.34</v>
      </c>
      <c r="F2323">
        <v>1.1499999999999999</v>
      </c>
      <c r="G2323">
        <v>1.43</v>
      </c>
      <c r="H2323">
        <v>1.98</v>
      </c>
      <c r="I2323">
        <v>1.85</v>
      </c>
      <c r="J2323">
        <v>0.25</v>
      </c>
      <c r="K2323">
        <v>0.05</v>
      </c>
    </row>
    <row r="2324" spans="1:11" x14ac:dyDescent="0.35">
      <c r="A2324" s="204">
        <v>40639</v>
      </c>
      <c r="B2324" s="544">
        <v>3</v>
      </c>
      <c r="C2324">
        <v>3.7</v>
      </c>
      <c r="D2324">
        <v>4.55</v>
      </c>
      <c r="E2324">
        <v>5.69</v>
      </c>
      <c r="F2324">
        <v>1.1499999999999999</v>
      </c>
      <c r="G2324">
        <v>1.43</v>
      </c>
      <c r="H2324">
        <v>1.98</v>
      </c>
      <c r="I2324">
        <v>1.85</v>
      </c>
      <c r="J2324">
        <v>0.25</v>
      </c>
      <c r="K2324">
        <v>0.05</v>
      </c>
    </row>
    <row r="2325" spans="1:11" x14ac:dyDescent="0.35">
      <c r="A2325" s="204">
        <v>40646</v>
      </c>
      <c r="B2325" s="544">
        <v>3</v>
      </c>
      <c r="C2325">
        <v>3.7</v>
      </c>
      <c r="D2325">
        <v>4.55</v>
      </c>
      <c r="E2325">
        <v>5.69</v>
      </c>
      <c r="F2325">
        <v>1.1499999999999999</v>
      </c>
      <c r="G2325">
        <v>1.43</v>
      </c>
      <c r="H2325">
        <v>1.98</v>
      </c>
      <c r="I2325">
        <v>1.85</v>
      </c>
      <c r="J2325">
        <v>0.25</v>
      </c>
      <c r="K2325">
        <v>0.05</v>
      </c>
    </row>
    <row r="2326" spans="1:11" x14ac:dyDescent="0.35">
      <c r="A2326" s="204">
        <v>40653</v>
      </c>
      <c r="B2326" s="544">
        <v>3</v>
      </c>
      <c r="C2326">
        <v>3.7</v>
      </c>
      <c r="D2326">
        <v>4.55</v>
      </c>
      <c r="E2326">
        <v>5.69</v>
      </c>
      <c r="F2326">
        <v>1.1499999999999999</v>
      </c>
      <c r="G2326">
        <v>1.43</v>
      </c>
      <c r="H2326">
        <v>1.98</v>
      </c>
      <c r="I2326">
        <v>1.85</v>
      </c>
      <c r="J2326">
        <v>0.25</v>
      </c>
      <c r="K2326">
        <v>0.05</v>
      </c>
    </row>
    <row r="2327" spans="1:11" x14ac:dyDescent="0.35">
      <c r="A2327" s="204">
        <v>40660</v>
      </c>
      <c r="B2327" s="544">
        <v>3</v>
      </c>
      <c r="C2327">
        <v>3.7</v>
      </c>
      <c r="D2327">
        <v>4.55</v>
      </c>
      <c r="E2327">
        <v>5.69</v>
      </c>
      <c r="F2327">
        <v>1.1499999999999999</v>
      </c>
      <c r="G2327">
        <v>1.43</v>
      </c>
      <c r="H2327">
        <v>1.98</v>
      </c>
      <c r="I2327">
        <v>1.85</v>
      </c>
      <c r="J2327">
        <v>0.15</v>
      </c>
      <c r="K2327">
        <v>0.05</v>
      </c>
    </row>
    <row r="2328" spans="1:11" x14ac:dyDescent="0.35">
      <c r="A2328" s="204">
        <v>40667</v>
      </c>
      <c r="B2328" s="544">
        <v>3</v>
      </c>
      <c r="C2328">
        <v>3.7</v>
      </c>
      <c r="D2328">
        <v>4.55</v>
      </c>
      <c r="E2328">
        <v>5.69</v>
      </c>
      <c r="F2328">
        <v>1.1499999999999999</v>
      </c>
      <c r="G2328">
        <v>1.43</v>
      </c>
      <c r="H2328">
        <v>1.98</v>
      </c>
      <c r="I2328">
        <v>1.85</v>
      </c>
      <c r="J2328">
        <v>0.15</v>
      </c>
      <c r="K2328">
        <v>0.05</v>
      </c>
    </row>
    <row r="2329" spans="1:11" x14ac:dyDescent="0.35">
      <c r="A2329" s="204">
        <v>40674</v>
      </c>
      <c r="B2329" s="544">
        <v>3</v>
      </c>
      <c r="C2329">
        <v>3.7</v>
      </c>
      <c r="D2329">
        <v>4.55</v>
      </c>
      <c r="E2329">
        <v>5.69</v>
      </c>
      <c r="F2329">
        <v>1.1499999999999999</v>
      </c>
      <c r="G2329">
        <v>1.43</v>
      </c>
      <c r="H2329">
        <v>1.98</v>
      </c>
      <c r="I2329">
        <v>1.85</v>
      </c>
      <c r="J2329">
        <v>0.15</v>
      </c>
      <c r="K2329">
        <v>0.05</v>
      </c>
    </row>
    <row r="2330" spans="1:11" x14ac:dyDescent="0.35">
      <c r="A2330" s="204">
        <v>40681</v>
      </c>
      <c r="B2330" s="544">
        <v>3</v>
      </c>
      <c r="C2330">
        <v>3.7</v>
      </c>
      <c r="D2330">
        <v>4.55</v>
      </c>
      <c r="E2330">
        <v>5.69</v>
      </c>
      <c r="F2330">
        <v>1.1499999999999999</v>
      </c>
      <c r="G2330">
        <v>1.43</v>
      </c>
      <c r="H2330">
        <v>1.98</v>
      </c>
      <c r="I2330">
        <v>1.85</v>
      </c>
      <c r="J2330">
        <v>0.15</v>
      </c>
      <c r="K2330">
        <v>0.05</v>
      </c>
    </row>
    <row r="2331" spans="1:11" x14ac:dyDescent="0.35">
      <c r="A2331" s="204">
        <v>40688</v>
      </c>
      <c r="B2331" s="544">
        <v>3</v>
      </c>
      <c r="C2331">
        <v>3.7</v>
      </c>
      <c r="D2331">
        <v>4.55</v>
      </c>
      <c r="E2331">
        <v>5.59</v>
      </c>
      <c r="F2331">
        <v>1.1499999999999999</v>
      </c>
      <c r="G2331">
        <v>1.43</v>
      </c>
      <c r="H2331">
        <v>1.98</v>
      </c>
      <c r="I2331">
        <v>1.85</v>
      </c>
      <c r="J2331">
        <v>0.15</v>
      </c>
      <c r="K2331">
        <v>0.05</v>
      </c>
    </row>
    <row r="2332" spans="1:11" x14ac:dyDescent="0.35">
      <c r="A2332" s="204">
        <v>40695</v>
      </c>
      <c r="B2332" s="544">
        <v>3</v>
      </c>
      <c r="C2332">
        <v>3.6</v>
      </c>
      <c r="D2332">
        <v>4.45</v>
      </c>
      <c r="E2332">
        <v>5.49</v>
      </c>
      <c r="F2332">
        <v>0.98</v>
      </c>
      <c r="G2332">
        <v>1.43</v>
      </c>
      <c r="H2332">
        <v>1.98</v>
      </c>
      <c r="I2332">
        <v>1.85</v>
      </c>
      <c r="J2332">
        <v>0.15</v>
      </c>
      <c r="K2332">
        <v>0.05</v>
      </c>
    </row>
    <row r="2333" spans="1:11" x14ac:dyDescent="0.35">
      <c r="A2333" s="204">
        <v>40702</v>
      </c>
      <c r="B2333" s="544">
        <v>3</v>
      </c>
      <c r="C2333">
        <v>3.5</v>
      </c>
      <c r="D2333">
        <v>4.25</v>
      </c>
      <c r="E2333">
        <v>5.39</v>
      </c>
      <c r="F2333">
        <v>0.98</v>
      </c>
      <c r="G2333">
        <v>1.43</v>
      </c>
      <c r="H2333">
        <v>1.98</v>
      </c>
      <c r="I2333">
        <v>1.85</v>
      </c>
      <c r="J2333">
        <v>0.15</v>
      </c>
      <c r="K2333">
        <v>0.05</v>
      </c>
    </row>
    <row r="2334" spans="1:11" x14ac:dyDescent="0.35">
      <c r="A2334" s="204">
        <v>40709</v>
      </c>
      <c r="B2334" s="544">
        <v>3</v>
      </c>
      <c r="C2334">
        <v>3.5</v>
      </c>
      <c r="D2334">
        <v>4.25</v>
      </c>
      <c r="E2334">
        <v>5.39</v>
      </c>
      <c r="F2334">
        <v>0.98</v>
      </c>
      <c r="G2334">
        <v>1.43</v>
      </c>
      <c r="H2334">
        <v>1.98</v>
      </c>
      <c r="I2334">
        <v>1.85</v>
      </c>
      <c r="J2334">
        <v>0.15</v>
      </c>
      <c r="K2334">
        <v>0.05</v>
      </c>
    </row>
    <row r="2335" spans="1:11" x14ac:dyDescent="0.35">
      <c r="A2335" s="204">
        <v>40716</v>
      </c>
      <c r="B2335" s="544">
        <v>3</v>
      </c>
      <c r="C2335">
        <v>3.5</v>
      </c>
      <c r="D2335">
        <v>4.25</v>
      </c>
      <c r="E2335">
        <v>5.39</v>
      </c>
      <c r="F2335">
        <v>0.98</v>
      </c>
      <c r="G2335">
        <v>1.43</v>
      </c>
      <c r="H2335">
        <v>1.98</v>
      </c>
      <c r="I2335">
        <v>1.85</v>
      </c>
      <c r="J2335">
        <v>0.15</v>
      </c>
      <c r="K2335">
        <v>0.05</v>
      </c>
    </row>
    <row r="2336" spans="1:11" x14ac:dyDescent="0.35">
      <c r="A2336" s="204">
        <v>40723</v>
      </c>
      <c r="B2336" s="544">
        <v>3</v>
      </c>
      <c r="C2336">
        <v>3.5</v>
      </c>
      <c r="D2336">
        <v>4.25</v>
      </c>
      <c r="E2336">
        <v>5.39</v>
      </c>
      <c r="F2336">
        <v>0.98</v>
      </c>
      <c r="G2336">
        <v>1.43</v>
      </c>
      <c r="H2336">
        <v>1.98</v>
      </c>
      <c r="I2336">
        <v>1.95</v>
      </c>
      <c r="J2336">
        <v>0.15</v>
      </c>
      <c r="K2336">
        <v>0.05</v>
      </c>
    </row>
    <row r="2337" spans="1:11" x14ac:dyDescent="0.35">
      <c r="A2337" s="204">
        <v>40730</v>
      </c>
      <c r="B2337" s="544">
        <v>3</v>
      </c>
      <c r="C2337">
        <v>3.6</v>
      </c>
      <c r="D2337">
        <v>4.45</v>
      </c>
      <c r="E2337">
        <v>5.54</v>
      </c>
      <c r="F2337">
        <v>0.98</v>
      </c>
      <c r="G2337">
        <v>1.43</v>
      </c>
      <c r="H2337">
        <v>1.98</v>
      </c>
      <c r="I2337">
        <v>1.95</v>
      </c>
      <c r="J2337">
        <v>0.15</v>
      </c>
      <c r="K2337">
        <v>0.05</v>
      </c>
    </row>
    <row r="2338" spans="1:11" x14ac:dyDescent="0.35">
      <c r="A2338" s="204">
        <v>40737</v>
      </c>
      <c r="B2338" s="544">
        <v>3</v>
      </c>
      <c r="C2338">
        <v>3.6</v>
      </c>
      <c r="D2338">
        <v>4.3499999999999996</v>
      </c>
      <c r="E2338">
        <v>5.54</v>
      </c>
      <c r="F2338">
        <v>0.98</v>
      </c>
      <c r="G2338">
        <v>1.43</v>
      </c>
      <c r="H2338">
        <v>1.98</v>
      </c>
      <c r="I2338">
        <v>1.95</v>
      </c>
      <c r="J2338">
        <v>0.15</v>
      </c>
      <c r="K2338">
        <v>0.05</v>
      </c>
    </row>
    <row r="2339" spans="1:11" x14ac:dyDescent="0.35">
      <c r="A2339" s="204">
        <v>40744</v>
      </c>
      <c r="B2339" s="544">
        <v>3</v>
      </c>
      <c r="C2339">
        <v>3.5</v>
      </c>
      <c r="D2339">
        <v>4.3499999999999996</v>
      </c>
      <c r="E2339">
        <v>5.39</v>
      </c>
      <c r="F2339">
        <v>0.98</v>
      </c>
      <c r="G2339">
        <v>1.43</v>
      </c>
      <c r="H2339">
        <v>1.98</v>
      </c>
      <c r="I2339">
        <v>1.95</v>
      </c>
      <c r="J2339">
        <v>0.15</v>
      </c>
      <c r="K2339">
        <v>0.05</v>
      </c>
    </row>
    <row r="2340" spans="1:11" x14ac:dyDescent="0.35">
      <c r="A2340" s="204">
        <v>40751</v>
      </c>
      <c r="B2340" s="544">
        <v>3</v>
      </c>
      <c r="C2340">
        <v>3.5</v>
      </c>
      <c r="D2340">
        <v>4.3499999999999996</v>
      </c>
      <c r="E2340">
        <v>5.39</v>
      </c>
      <c r="F2340">
        <v>0.98</v>
      </c>
      <c r="G2340">
        <v>1.43</v>
      </c>
      <c r="H2340">
        <v>1.98</v>
      </c>
      <c r="I2340">
        <v>1.95</v>
      </c>
      <c r="J2340">
        <v>0.15</v>
      </c>
      <c r="K2340">
        <v>0.05</v>
      </c>
    </row>
    <row r="2341" spans="1:11" x14ac:dyDescent="0.35">
      <c r="A2341" s="204">
        <v>40758</v>
      </c>
      <c r="B2341" s="544">
        <v>3</v>
      </c>
      <c r="C2341">
        <v>3.5</v>
      </c>
      <c r="D2341">
        <v>4.3499999999999996</v>
      </c>
      <c r="E2341">
        <v>5.39</v>
      </c>
      <c r="F2341">
        <v>0.98</v>
      </c>
      <c r="G2341">
        <v>1.43</v>
      </c>
      <c r="H2341">
        <v>1.98</v>
      </c>
      <c r="I2341">
        <v>1.95</v>
      </c>
      <c r="J2341">
        <v>0.15</v>
      </c>
      <c r="K2341">
        <v>0.05</v>
      </c>
    </row>
    <row r="2342" spans="1:11" x14ac:dyDescent="0.35">
      <c r="A2342" s="204">
        <v>40765</v>
      </c>
      <c r="B2342" s="544">
        <v>3</v>
      </c>
      <c r="C2342">
        <v>3.5</v>
      </c>
      <c r="D2342">
        <v>4.3499999999999996</v>
      </c>
      <c r="E2342">
        <v>5.39</v>
      </c>
      <c r="F2342">
        <v>0.95</v>
      </c>
      <c r="G2342">
        <v>1.28</v>
      </c>
      <c r="H2342">
        <v>1.8</v>
      </c>
      <c r="I2342">
        <v>1.5</v>
      </c>
      <c r="J2342">
        <v>0.15</v>
      </c>
      <c r="K2342">
        <v>0.05</v>
      </c>
    </row>
    <row r="2343" spans="1:11" x14ac:dyDescent="0.35">
      <c r="A2343" s="204">
        <v>40772</v>
      </c>
      <c r="B2343" s="544">
        <v>3</v>
      </c>
      <c r="C2343">
        <v>3.5</v>
      </c>
      <c r="D2343">
        <v>4.3499999999999996</v>
      </c>
      <c r="E2343">
        <v>5.39</v>
      </c>
      <c r="F2343">
        <v>0.63</v>
      </c>
      <c r="G2343">
        <v>1.4</v>
      </c>
      <c r="H2343">
        <v>1.65</v>
      </c>
      <c r="I2343">
        <v>1.28</v>
      </c>
      <c r="J2343">
        <v>0.15</v>
      </c>
      <c r="K2343">
        <v>0.05</v>
      </c>
    </row>
    <row r="2344" spans="1:11" x14ac:dyDescent="0.35">
      <c r="A2344" s="204">
        <v>40779</v>
      </c>
      <c r="B2344" s="544">
        <v>3</v>
      </c>
      <c r="C2344">
        <v>3.5</v>
      </c>
      <c r="D2344">
        <v>4.3499999999999996</v>
      </c>
      <c r="E2344">
        <v>5.39</v>
      </c>
      <c r="F2344">
        <v>0.63</v>
      </c>
      <c r="G2344">
        <v>0.98</v>
      </c>
      <c r="H2344">
        <v>1.53</v>
      </c>
      <c r="I2344">
        <v>1.28</v>
      </c>
      <c r="J2344">
        <v>0.15</v>
      </c>
      <c r="K2344">
        <v>0.05</v>
      </c>
    </row>
    <row r="2345" spans="1:11" x14ac:dyDescent="0.35">
      <c r="A2345" s="204">
        <v>40786</v>
      </c>
      <c r="B2345" s="544">
        <v>3</v>
      </c>
      <c r="C2345">
        <v>3.5</v>
      </c>
      <c r="D2345">
        <v>4.3499999999999996</v>
      </c>
      <c r="E2345">
        <v>5.39</v>
      </c>
      <c r="F2345">
        <v>0.63</v>
      </c>
      <c r="G2345">
        <v>0.98</v>
      </c>
      <c r="H2345">
        <v>1.53</v>
      </c>
      <c r="I2345">
        <v>1.28</v>
      </c>
      <c r="J2345">
        <v>0.15</v>
      </c>
      <c r="K2345">
        <v>0.05</v>
      </c>
    </row>
    <row r="2346" spans="1:11" x14ac:dyDescent="0.35">
      <c r="A2346" s="204">
        <v>40793</v>
      </c>
      <c r="B2346" s="544">
        <v>3</v>
      </c>
      <c r="C2346">
        <v>3.5</v>
      </c>
      <c r="D2346">
        <v>4.3499999999999996</v>
      </c>
      <c r="E2346">
        <v>5.39</v>
      </c>
      <c r="F2346">
        <v>0.63</v>
      </c>
      <c r="G2346">
        <v>0.98</v>
      </c>
      <c r="H2346">
        <v>1.53</v>
      </c>
      <c r="I2346">
        <v>1.28</v>
      </c>
      <c r="J2346">
        <v>0.15</v>
      </c>
      <c r="K2346">
        <v>0.05</v>
      </c>
    </row>
    <row r="2347" spans="1:11" x14ac:dyDescent="0.35">
      <c r="A2347" s="204">
        <v>40800</v>
      </c>
      <c r="B2347" s="544">
        <v>3</v>
      </c>
      <c r="C2347">
        <v>3.5</v>
      </c>
      <c r="D2347">
        <v>4.3499999999999996</v>
      </c>
      <c r="E2347">
        <v>5.39</v>
      </c>
      <c r="F2347">
        <v>0.63</v>
      </c>
      <c r="G2347">
        <v>0.98</v>
      </c>
      <c r="H2347">
        <v>1.53</v>
      </c>
      <c r="I2347">
        <v>1.3</v>
      </c>
      <c r="J2347">
        <v>0.15</v>
      </c>
      <c r="K2347">
        <v>0.05</v>
      </c>
    </row>
    <row r="2348" spans="1:11" x14ac:dyDescent="0.35">
      <c r="A2348" s="204">
        <v>40807</v>
      </c>
      <c r="B2348" s="544">
        <v>3</v>
      </c>
      <c r="C2348">
        <v>3.5</v>
      </c>
      <c r="D2348">
        <v>4.3499999999999996</v>
      </c>
      <c r="E2348">
        <v>5.19</v>
      </c>
      <c r="F2348">
        <v>0.63</v>
      </c>
      <c r="G2348">
        <v>0.98</v>
      </c>
      <c r="H2348">
        <v>1.53</v>
      </c>
      <c r="I2348">
        <v>1.3</v>
      </c>
      <c r="J2348">
        <v>0.15</v>
      </c>
      <c r="K2348">
        <v>0.05</v>
      </c>
    </row>
    <row r="2349" spans="1:11" x14ac:dyDescent="0.35">
      <c r="A2349" s="204">
        <v>40814</v>
      </c>
      <c r="B2349" s="544">
        <v>3</v>
      </c>
      <c r="C2349">
        <v>3.5</v>
      </c>
      <c r="D2349">
        <v>4.3499999999999996</v>
      </c>
      <c r="E2349">
        <v>5.19</v>
      </c>
      <c r="F2349">
        <v>0.63</v>
      </c>
      <c r="G2349">
        <v>0.98</v>
      </c>
      <c r="H2349">
        <v>1.53</v>
      </c>
      <c r="I2349">
        <v>1.3</v>
      </c>
      <c r="J2349">
        <v>0.15</v>
      </c>
      <c r="K2349">
        <v>0.05</v>
      </c>
    </row>
    <row r="2350" spans="1:11" x14ac:dyDescent="0.35">
      <c r="A2350" s="204">
        <v>40821</v>
      </c>
      <c r="B2350" s="544">
        <v>3</v>
      </c>
      <c r="C2350">
        <v>3.5</v>
      </c>
      <c r="D2350">
        <v>4.3499999999999996</v>
      </c>
      <c r="E2350">
        <v>5.19</v>
      </c>
      <c r="F2350">
        <v>0.63</v>
      </c>
      <c r="G2350">
        <v>0.98</v>
      </c>
      <c r="H2350">
        <v>1.53</v>
      </c>
      <c r="I2350">
        <v>1.3</v>
      </c>
      <c r="J2350">
        <v>0.15</v>
      </c>
      <c r="K2350">
        <v>0.05</v>
      </c>
    </row>
    <row r="2351" spans="1:11" x14ac:dyDescent="0.35">
      <c r="A2351" s="204">
        <v>40828</v>
      </c>
      <c r="B2351" s="544">
        <v>3</v>
      </c>
      <c r="C2351">
        <v>3.5</v>
      </c>
      <c r="D2351">
        <v>4.05</v>
      </c>
      <c r="E2351">
        <v>5.29</v>
      </c>
      <c r="F2351">
        <v>1</v>
      </c>
      <c r="G2351">
        <v>1.35</v>
      </c>
      <c r="H2351">
        <v>1.53</v>
      </c>
      <c r="I2351">
        <v>1.28</v>
      </c>
      <c r="J2351">
        <v>0.15</v>
      </c>
      <c r="K2351">
        <v>0.05</v>
      </c>
    </row>
    <row r="2352" spans="1:11" x14ac:dyDescent="0.35">
      <c r="A2352" s="204">
        <v>40835</v>
      </c>
      <c r="B2352" s="544">
        <v>3</v>
      </c>
      <c r="C2352">
        <v>3.5</v>
      </c>
      <c r="D2352">
        <v>4.05</v>
      </c>
      <c r="E2352">
        <v>5.29</v>
      </c>
      <c r="F2352">
        <v>1</v>
      </c>
      <c r="G2352">
        <v>1.4</v>
      </c>
      <c r="H2352">
        <v>1.75</v>
      </c>
      <c r="I2352">
        <v>1.28</v>
      </c>
      <c r="J2352">
        <v>0.15</v>
      </c>
      <c r="K2352">
        <v>0.05</v>
      </c>
    </row>
    <row r="2353" spans="1:11" x14ac:dyDescent="0.35">
      <c r="A2353" s="204">
        <v>40842</v>
      </c>
      <c r="B2353" s="544">
        <v>3</v>
      </c>
      <c r="C2353">
        <v>3.5</v>
      </c>
      <c r="D2353">
        <v>4.05</v>
      </c>
      <c r="E2353">
        <v>5.29</v>
      </c>
      <c r="F2353">
        <v>1</v>
      </c>
      <c r="G2353">
        <v>1.4</v>
      </c>
      <c r="H2353">
        <v>1.85</v>
      </c>
      <c r="I2353">
        <v>1.6</v>
      </c>
      <c r="J2353">
        <v>0.15</v>
      </c>
      <c r="K2353">
        <v>0.05</v>
      </c>
    </row>
    <row r="2354" spans="1:11" x14ac:dyDescent="0.35">
      <c r="A2354" s="204">
        <v>40849</v>
      </c>
      <c r="B2354" s="544">
        <v>3</v>
      </c>
      <c r="C2354">
        <v>3.5</v>
      </c>
      <c r="D2354">
        <v>4.05</v>
      </c>
      <c r="E2354">
        <v>5.29</v>
      </c>
      <c r="F2354">
        <v>1</v>
      </c>
      <c r="G2354">
        <v>1.4</v>
      </c>
      <c r="H2354">
        <v>1.85</v>
      </c>
      <c r="I2354">
        <v>1.6</v>
      </c>
      <c r="J2354">
        <v>0.15</v>
      </c>
      <c r="K2354">
        <v>0.05</v>
      </c>
    </row>
    <row r="2355" spans="1:11" x14ac:dyDescent="0.35">
      <c r="A2355" s="204">
        <v>40856</v>
      </c>
      <c r="B2355" s="544">
        <v>3</v>
      </c>
      <c r="C2355">
        <v>3.5</v>
      </c>
      <c r="D2355">
        <v>4.05</v>
      </c>
      <c r="E2355">
        <v>5.29</v>
      </c>
      <c r="F2355">
        <v>1</v>
      </c>
      <c r="G2355">
        <v>1.4</v>
      </c>
      <c r="H2355">
        <v>1.85</v>
      </c>
      <c r="I2355">
        <v>1.6</v>
      </c>
      <c r="J2355">
        <v>0.15</v>
      </c>
      <c r="K2355">
        <v>0.05</v>
      </c>
    </row>
    <row r="2356" spans="1:11" x14ac:dyDescent="0.35">
      <c r="A2356" s="204">
        <v>40863</v>
      </c>
      <c r="B2356" s="544">
        <v>3</v>
      </c>
      <c r="C2356">
        <v>3.5</v>
      </c>
      <c r="D2356">
        <v>4.05</v>
      </c>
      <c r="E2356">
        <v>5.29</v>
      </c>
      <c r="F2356">
        <v>1</v>
      </c>
      <c r="G2356">
        <v>1.4</v>
      </c>
      <c r="H2356">
        <v>1.85</v>
      </c>
      <c r="I2356">
        <v>1.6</v>
      </c>
      <c r="J2356">
        <v>0.15</v>
      </c>
      <c r="K2356">
        <v>0.05</v>
      </c>
    </row>
    <row r="2357" spans="1:11" x14ac:dyDescent="0.35">
      <c r="A2357" s="204">
        <v>40870</v>
      </c>
      <c r="B2357" s="544">
        <v>3</v>
      </c>
      <c r="C2357">
        <v>3.5</v>
      </c>
      <c r="D2357">
        <v>4.05</v>
      </c>
      <c r="E2357">
        <v>5.29</v>
      </c>
      <c r="F2357">
        <v>1</v>
      </c>
      <c r="G2357">
        <v>1.4</v>
      </c>
      <c r="H2357">
        <v>1.85</v>
      </c>
      <c r="I2357">
        <v>1.6</v>
      </c>
      <c r="J2357">
        <v>0.15</v>
      </c>
      <c r="K2357">
        <v>0.05</v>
      </c>
    </row>
    <row r="2358" spans="1:11" x14ac:dyDescent="0.35">
      <c r="A2358" s="204">
        <v>40877</v>
      </c>
      <c r="B2358" s="544">
        <v>3</v>
      </c>
      <c r="C2358">
        <v>3.5</v>
      </c>
      <c r="D2358">
        <v>4.05</v>
      </c>
      <c r="E2358">
        <v>5.29</v>
      </c>
      <c r="F2358">
        <v>1</v>
      </c>
      <c r="G2358">
        <v>1.4</v>
      </c>
      <c r="H2358">
        <v>1.85</v>
      </c>
      <c r="I2358">
        <v>1.6</v>
      </c>
      <c r="J2358">
        <v>0.15</v>
      </c>
      <c r="K2358">
        <v>0.05</v>
      </c>
    </row>
    <row r="2359" spans="1:11" x14ac:dyDescent="0.35">
      <c r="A2359" s="204">
        <v>40884</v>
      </c>
      <c r="B2359" s="544">
        <v>3</v>
      </c>
      <c r="C2359">
        <v>3.5</v>
      </c>
      <c r="D2359">
        <v>4.05</v>
      </c>
      <c r="E2359">
        <v>5.29</v>
      </c>
      <c r="F2359">
        <v>1</v>
      </c>
      <c r="G2359">
        <v>1.4</v>
      </c>
      <c r="H2359">
        <v>1.85</v>
      </c>
      <c r="I2359">
        <v>1.6</v>
      </c>
      <c r="J2359">
        <v>0.15</v>
      </c>
      <c r="K2359">
        <v>0.05</v>
      </c>
    </row>
    <row r="2360" spans="1:11" x14ac:dyDescent="0.35">
      <c r="A2360" s="204">
        <v>40891</v>
      </c>
      <c r="B2360" s="544">
        <v>3</v>
      </c>
      <c r="C2360">
        <v>3.5</v>
      </c>
      <c r="D2360">
        <v>4.05</v>
      </c>
      <c r="E2360">
        <v>5.29</v>
      </c>
      <c r="F2360">
        <v>1</v>
      </c>
      <c r="G2360">
        <v>1.4</v>
      </c>
      <c r="H2360">
        <v>1.85</v>
      </c>
      <c r="I2360">
        <v>1.6</v>
      </c>
      <c r="J2360">
        <v>0.15</v>
      </c>
      <c r="K2360">
        <v>0.05</v>
      </c>
    </row>
    <row r="2361" spans="1:11" x14ac:dyDescent="0.35">
      <c r="A2361" s="204">
        <v>40898</v>
      </c>
      <c r="B2361" s="544">
        <v>3</v>
      </c>
      <c r="C2361">
        <v>3.5</v>
      </c>
      <c r="D2361">
        <v>4.05</v>
      </c>
      <c r="E2361">
        <v>5.29</v>
      </c>
      <c r="F2361">
        <v>1</v>
      </c>
      <c r="G2361">
        <v>1.4</v>
      </c>
      <c r="H2361">
        <v>1.85</v>
      </c>
      <c r="I2361">
        <v>1.6</v>
      </c>
      <c r="J2361">
        <v>0.15</v>
      </c>
      <c r="K2361">
        <v>0.05</v>
      </c>
    </row>
    <row r="2362" spans="1:11" x14ac:dyDescent="0.35">
      <c r="A2362" s="204">
        <v>40905</v>
      </c>
      <c r="B2362" s="544">
        <v>3</v>
      </c>
      <c r="C2362">
        <v>3.5</v>
      </c>
      <c r="D2362">
        <v>4.05</v>
      </c>
      <c r="E2362">
        <v>5.29</v>
      </c>
      <c r="F2362">
        <v>1.1499999999999999</v>
      </c>
      <c r="G2362">
        <v>1.4</v>
      </c>
      <c r="H2362">
        <v>1.85</v>
      </c>
      <c r="I2362">
        <v>1.6</v>
      </c>
      <c r="J2362">
        <v>0.15</v>
      </c>
      <c r="K2362">
        <v>0.05</v>
      </c>
    </row>
    <row r="2363" spans="1:11" x14ac:dyDescent="0.35">
      <c r="A2363" s="204">
        <v>40912</v>
      </c>
      <c r="B2363" s="544">
        <v>3</v>
      </c>
      <c r="C2363">
        <v>3.5</v>
      </c>
      <c r="D2363">
        <v>4.05</v>
      </c>
      <c r="E2363">
        <v>5.29</v>
      </c>
      <c r="F2363">
        <v>1.1499999999999999</v>
      </c>
      <c r="G2363">
        <v>1.4</v>
      </c>
      <c r="H2363">
        <v>1.85</v>
      </c>
      <c r="I2363">
        <v>1.6</v>
      </c>
      <c r="J2363">
        <v>0.15</v>
      </c>
      <c r="K2363">
        <v>0.05</v>
      </c>
    </row>
    <row r="2364" spans="1:11" x14ac:dyDescent="0.35">
      <c r="A2364" s="204">
        <v>40919</v>
      </c>
      <c r="B2364" s="544">
        <v>3</v>
      </c>
      <c r="C2364">
        <v>3.5</v>
      </c>
      <c r="D2364">
        <v>4.05</v>
      </c>
      <c r="E2364">
        <v>5.29</v>
      </c>
      <c r="F2364">
        <v>1.1499999999999999</v>
      </c>
      <c r="G2364">
        <v>1.4</v>
      </c>
      <c r="H2364">
        <v>1.85</v>
      </c>
      <c r="I2364">
        <v>1.6</v>
      </c>
      <c r="J2364">
        <v>0.15</v>
      </c>
      <c r="K2364">
        <v>0.05</v>
      </c>
    </row>
    <row r="2365" spans="1:11" x14ac:dyDescent="0.35">
      <c r="A2365" s="204">
        <v>40926</v>
      </c>
      <c r="B2365" s="544">
        <v>3</v>
      </c>
      <c r="C2365">
        <v>3.5</v>
      </c>
      <c r="D2365">
        <v>4.05</v>
      </c>
      <c r="E2365">
        <v>5.29</v>
      </c>
      <c r="F2365">
        <v>1.1499999999999999</v>
      </c>
      <c r="G2365">
        <v>1.4</v>
      </c>
      <c r="H2365">
        <v>1.85</v>
      </c>
      <c r="I2365">
        <v>1.6</v>
      </c>
      <c r="J2365">
        <v>0.15</v>
      </c>
      <c r="K2365">
        <v>0.05</v>
      </c>
    </row>
    <row r="2366" spans="1:11" x14ac:dyDescent="0.35">
      <c r="A2366" s="204">
        <v>40933</v>
      </c>
      <c r="B2366" s="544">
        <v>3</v>
      </c>
      <c r="C2366">
        <v>3.5</v>
      </c>
      <c r="D2366">
        <v>4.05</v>
      </c>
      <c r="E2366">
        <v>5.29</v>
      </c>
      <c r="F2366">
        <v>1.1499999999999999</v>
      </c>
      <c r="G2366">
        <v>1.4</v>
      </c>
      <c r="H2366">
        <v>1.85</v>
      </c>
      <c r="I2366">
        <v>1.6</v>
      </c>
      <c r="J2366">
        <v>0.15</v>
      </c>
      <c r="K2366">
        <v>0.05</v>
      </c>
    </row>
    <row r="2367" spans="1:11" x14ac:dyDescent="0.35">
      <c r="A2367" s="204">
        <v>40940</v>
      </c>
      <c r="B2367" s="544">
        <v>3</v>
      </c>
      <c r="C2367">
        <v>3.5</v>
      </c>
      <c r="D2367">
        <v>3.95</v>
      </c>
      <c r="E2367">
        <v>5.14</v>
      </c>
      <c r="F2367">
        <v>1.1499999999999999</v>
      </c>
      <c r="G2367">
        <v>1.4</v>
      </c>
      <c r="H2367">
        <v>1.85</v>
      </c>
      <c r="I2367">
        <v>1.6</v>
      </c>
      <c r="J2367">
        <v>0.15</v>
      </c>
      <c r="K2367">
        <v>0.05</v>
      </c>
    </row>
    <row r="2368" spans="1:11" x14ac:dyDescent="0.35">
      <c r="A2368" s="204">
        <v>40947</v>
      </c>
      <c r="B2368" s="544">
        <v>3</v>
      </c>
      <c r="C2368">
        <v>3.2</v>
      </c>
      <c r="D2368">
        <v>3.95</v>
      </c>
      <c r="E2368">
        <v>5.14</v>
      </c>
      <c r="F2368">
        <v>1.1499999999999999</v>
      </c>
      <c r="G2368">
        <v>1.4</v>
      </c>
      <c r="H2368">
        <v>1.63</v>
      </c>
      <c r="I2368">
        <v>1.45</v>
      </c>
      <c r="J2368">
        <v>0.15</v>
      </c>
      <c r="K2368">
        <v>0.05</v>
      </c>
    </row>
    <row r="2369" spans="1:11" x14ac:dyDescent="0.35">
      <c r="A2369" s="204">
        <v>40954</v>
      </c>
      <c r="B2369" s="544">
        <v>3</v>
      </c>
      <c r="C2369">
        <v>3.2</v>
      </c>
      <c r="D2369">
        <v>3.95</v>
      </c>
      <c r="E2369">
        <v>5.24</v>
      </c>
      <c r="F2369">
        <v>1.1499999999999999</v>
      </c>
      <c r="G2369">
        <v>1.4</v>
      </c>
      <c r="H2369">
        <v>1.63</v>
      </c>
      <c r="I2369">
        <v>1.45</v>
      </c>
      <c r="J2369">
        <v>0.15</v>
      </c>
      <c r="K2369">
        <v>0.05</v>
      </c>
    </row>
    <row r="2370" spans="1:11" x14ac:dyDescent="0.35">
      <c r="A2370" s="204">
        <v>40961</v>
      </c>
      <c r="B2370" s="544">
        <v>3</v>
      </c>
      <c r="C2370">
        <v>3.2</v>
      </c>
      <c r="D2370">
        <v>3.95</v>
      </c>
      <c r="E2370">
        <v>5.24</v>
      </c>
      <c r="F2370">
        <v>1.1499999999999999</v>
      </c>
      <c r="G2370">
        <v>1.4</v>
      </c>
      <c r="H2370">
        <v>1.63</v>
      </c>
      <c r="I2370">
        <v>1.85</v>
      </c>
      <c r="J2370">
        <v>0.15</v>
      </c>
      <c r="K2370">
        <v>0.05</v>
      </c>
    </row>
    <row r="2371" spans="1:11" x14ac:dyDescent="0.35">
      <c r="A2371" s="204">
        <v>40968</v>
      </c>
      <c r="B2371" s="544">
        <v>3</v>
      </c>
      <c r="C2371">
        <v>3.2</v>
      </c>
      <c r="D2371">
        <v>3.95</v>
      </c>
      <c r="E2371">
        <v>5.24</v>
      </c>
      <c r="F2371">
        <v>1.1499999999999999</v>
      </c>
      <c r="G2371">
        <v>1.4</v>
      </c>
      <c r="H2371">
        <v>1.63</v>
      </c>
      <c r="I2371">
        <v>1.85</v>
      </c>
      <c r="J2371">
        <v>0.15</v>
      </c>
      <c r="K2371">
        <v>0.05</v>
      </c>
    </row>
    <row r="2372" spans="1:11" x14ac:dyDescent="0.35">
      <c r="A2372" s="204">
        <v>40975</v>
      </c>
      <c r="B2372" s="544">
        <v>3</v>
      </c>
      <c r="C2372">
        <v>3.2</v>
      </c>
      <c r="D2372">
        <v>3.95</v>
      </c>
      <c r="E2372">
        <v>5.24</v>
      </c>
      <c r="F2372">
        <v>1.1499999999999999</v>
      </c>
      <c r="G2372">
        <v>1.1299999999999999</v>
      </c>
      <c r="H2372">
        <v>1.63</v>
      </c>
      <c r="I2372">
        <v>1.85</v>
      </c>
      <c r="J2372">
        <v>0.15</v>
      </c>
      <c r="K2372">
        <v>0.05</v>
      </c>
    </row>
    <row r="2373" spans="1:11" x14ac:dyDescent="0.35">
      <c r="A2373" s="204">
        <v>40982</v>
      </c>
      <c r="B2373" s="544">
        <v>3</v>
      </c>
      <c r="C2373">
        <v>3.2</v>
      </c>
      <c r="D2373">
        <v>3.95</v>
      </c>
      <c r="E2373">
        <v>5.24</v>
      </c>
      <c r="F2373">
        <v>1.1499999999999999</v>
      </c>
      <c r="G2373">
        <v>1.1299999999999999</v>
      </c>
      <c r="H2373">
        <v>1.63</v>
      </c>
      <c r="I2373">
        <v>1.85</v>
      </c>
      <c r="J2373">
        <v>0.15</v>
      </c>
      <c r="K2373">
        <v>0.05</v>
      </c>
    </row>
    <row r="2374" spans="1:11" x14ac:dyDescent="0.35">
      <c r="A2374" s="204">
        <v>40989</v>
      </c>
      <c r="B2374" s="544">
        <v>3</v>
      </c>
      <c r="C2374">
        <v>3.2</v>
      </c>
      <c r="D2374">
        <v>3.95</v>
      </c>
      <c r="E2374">
        <v>5.24</v>
      </c>
      <c r="F2374">
        <v>1.1499999999999999</v>
      </c>
      <c r="G2374">
        <v>1.1299999999999999</v>
      </c>
      <c r="H2374">
        <v>2.1</v>
      </c>
      <c r="I2374">
        <v>1.85</v>
      </c>
      <c r="J2374">
        <v>0.15</v>
      </c>
      <c r="K2374">
        <v>0.05</v>
      </c>
    </row>
    <row r="2375" spans="1:11" x14ac:dyDescent="0.35">
      <c r="A2375" s="204">
        <v>40996</v>
      </c>
      <c r="B2375" s="544">
        <v>3</v>
      </c>
      <c r="C2375">
        <v>3.2</v>
      </c>
      <c r="D2375">
        <v>3.95</v>
      </c>
      <c r="E2375">
        <v>5.24</v>
      </c>
      <c r="F2375">
        <v>1.1499999999999999</v>
      </c>
      <c r="G2375">
        <v>1.1299999999999999</v>
      </c>
      <c r="H2375">
        <v>1.63</v>
      </c>
      <c r="I2375">
        <v>1.45</v>
      </c>
      <c r="J2375">
        <v>0.15</v>
      </c>
      <c r="K2375">
        <v>0.05</v>
      </c>
    </row>
    <row r="2376" spans="1:11" x14ac:dyDescent="0.35">
      <c r="A2376" s="204">
        <v>41003</v>
      </c>
      <c r="B2376" s="544">
        <v>3</v>
      </c>
      <c r="C2376">
        <v>3.2</v>
      </c>
      <c r="D2376">
        <v>3.95</v>
      </c>
      <c r="E2376">
        <v>5.44</v>
      </c>
      <c r="F2376">
        <v>1.1499999999999999</v>
      </c>
      <c r="G2376">
        <v>1.1299999999999999</v>
      </c>
      <c r="H2376">
        <v>1.63</v>
      </c>
      <c r="I2376">
        <v>1.45</v>
      </c>
      <c r="J2376">
        <v>0.15</v>
      </c>
      <c r="K2376">
        <v>0.05</v>
      </c>
    </row>
    <row r="2377" spans="1:11" x14ac:dyDescent="0.35">
      <c r="A2377" s="204">
        <v>41010</v>
      </c>
      <c r="B2377" s="544">
        <v>3</v>
      </c>
      <c r="C2377">
        <v>3.2</v>
      </c>
      <c r="D2377">
        <v>3.95</v>
      </c>
      <c r="E2377">
        <v>5.44</v>
      </c>
      <c r="F2377">
        <v>1.1499999999999999</v>
      </c>
      <c r="G2377">
        <v>1.1299999999999999</v>
      </c>
      <c r="H2377">
        <v>1.63</v>
      </c>
      <c r="I2377">
        <v>1.45</v>
      </c>
      <c r="J2377">
        <v>0.15</v>
      </c>
      <c r="K2377">
        <v>0.05</v>
      </c>
    </row>
    <row r="2378" spans="1:11" x14ac:dyDescent="0.35">
      <c r="A2378" s="204">
        <v>41017</v>
      </c>
      <c r="B2378" s="544">
        <v>3</v>
      </c>
      <c r="C2378">
        <v>3.2</v>
      </c>
      <c r="D2378">
        <v>3.95</v>
      </c>
      <c r="E2378">
        <v>5.44</v>
      </c>
      <c r="F2378">
        <v>1.1499999999999999</v>
      </c>
      <c r="G2378">
        <v>1.1299999999999999</v>
      </c>
      <c r="H2378">
        <v>1.63</v>
      </c>
      <c r="I2378">
        <v>1.45</v>
      </c>
      <c r="J2378">
        <v>0.15</v>
      </c>
      <c r="K2378">
        <v>0.05</v>
      </c>
    </row>
    <row r="2379" spans="1:11" x14ac:dyDescent="0.35">
      <c r="A2379" s="204">
        <v>41024</v>
      </c>
      <c r="B2379" s="544">
        <v>3</v>
      </c>
      <c r="C2379">
        <v>3.2</v>
      </c>
      <c r="D2379">
        <v>3.95</v>
      </c>
      <c r="E2379">
        <v>5.44</v>
      </c>
      <c r="F2379">
        <v>1.1499999999999999</v>
      </c>
      <c r="G2379">
        <v>1.1299999999999999</v>
      </c>
      <c r="H2379">
        <v>1.63</v>
      </c>
      <c r="I2379">
        <v>1.45</v>
      </c>
      <c r="J2379">
        <v>0.15</v>
      </c>
      <c r="K2379">
        <v>0.05</v>
      </c>
    </row>
    <row r="2380" spans="1:11" x14ac:dyDescent="0.35">
      <c r="A2380" s="204">
        <v>41031</v>
      </c>
      <c r="B2380" s="544">
        <v>3</v>
      </c>
      <c r="C2380">
        <v>3.2</v>
      </c>
      <c r="D2380">
        <v>3.95</v>
      </c>
      <c r="E2380">
        <v>5.44</v>
      </c>
      <c r="F2380">
        <v>0.78</v>
      </c>
      <c r="G2380">
        <v>1.1299999999999999</v>
      </c>
      <c r="H2380">
        <v>1.63</v>
      </c>
      <c r="I2380">
        <v>1.45</v>
      </c>
      <c r="J2380">
        <v>0.15</v>
      </c>
      <c r="K2380">
        <v>0.05</v>
      </c>
    </row>
    <row r="2381" spans="1:11" x14ac:dyDescent="0.35">
      <c r="A2381" s="204">
        <v>41038</v>
      </c>
      <c r="B2381" s="544">
        <v>3</v>
      </c>
      <c r="C2381">
        <v>3.2</v>
      </c>
      <c r="D2381">
        <v>3.95</v>
      </c>
      <c r="E2381">
        <v>5.44</v>
      </c>
      <c r="F2381">
        <v>1.45</v>
      </c>
      <c r="G2381">
        <v>1.1299999999999999</v>
      </c>
      <c r="H2381">
        <v>1.63</v>
      </c>
      <c r="I2381">
        <v>1.45</v>
      </c>
      <c r="J2381">
        <v>0.15</v>
      </c>
      <c r="K2381">
        <v>0.05</v>
      </c>
    </row>
    <row r="2382" spans="1:11" x14ac:dyDescent="0.35">
      <c r="A2382" s="204">
        <v>41045</v>
      </c>
      <c r="B2382" s="544">
        <v>3</v>
      </c>
      <c r="C2382">
        <v>3.2</v>
      </c>
      <c r="D2382">
        <v>3.95</v>
      </c>
      <c r="E2382">
        <v>5.44</v>
      </c>
      <c r="F2382">
        <v>1.45</v>
      </c>
      <c r="G2382">
        <v>1.1299999999999999</v>
      </c>
      <c r="H2382">
        <v>1.63</v>
      </c>
      <c r="I2382">
        <v>1.45</v>
      </c>
      <c r="J2382">
        <v>0.15</v>
      </c>
      <c r="K2382">
        <v>0.05</v>
      </c>
    </row>
    <row r="2383" spans="1:11" x14ac:dyDescent="0.35">
      <c r="A2383" s="204">
        <v>41052</v>
      </c>
      <c r="B2383" s="544">
        <v>3</v>
      </c>
      <c r="C2383">
        <v>3.2</v>
      </c>
      <c r="D2383">
        <v>3.95</v>
      </c>
      <c r="E2383">
        <v>5.44</v>
      </c>
      <c r="F2383">
        <v>1.45</v>
      </c>
      <c r="G2383">
        <v>1.1299999999999999</v>
      </c>
      <c r="H2383">
        <v>1.63</v>
      </c>
      <c r="I2383">
        <v>1.45</v>
      </c>
      <c r="J2383">
        <v>0.15</v>
      </c>
      <c r="K2383">
        <v>0.05</v>
      </c>
    </row>
    <row r="2384" spans="1:11" x14ac:dyDescent="0.35">
      <c r="A2384" s="204">
        <v>41059</v>
      </c>
      <c r="B2384" s="544">
        <v>3</v>
      </c>
      <c r="C2384">
        <v>3.2</v>
      </c>
      <c r="D2384">
        <v>3.95</v>
      </c>
      <c r="E2384">
        <v>5.34</v>
      </c>
      <c r="F2384">
        <v>0.78</v>
      </c>
      <c r="G2384">
        <v>1.1299999999999999</v>
      </c>
      <c r="H2384">
        <v>1.63</v>
      </c>
      <c r="I2384">
        <v>1.45</v>
      </c>
      <c r="J2384">
        <v>0.15</v>
      </c>
      <c r="K2384">
        <v>0.05</v>
      </c>
    </row>
    <row r="2385" spans="1:11" x14ac:dyDescent="0.35">
      <c r="A2385" s="204">
        <v>41066</v>
      </c>
      <c r="B2385" s="544">
        <v>3</v>
      </c>
      <c r="C2385">
        <v>3.2</v>
      </c>
      <c r="D2385">
        <v>3.95</v>
      </c>
      <c r="E2385">
        <v>5.24</v>
      </c>
      <c r="F2385">
        <v>1.3</v>
      </c>
      <c r="G2385">
        <v>1.1299999999999999</v>
      </c>
      <c r="H2385">
        <v>2.0499999999999998</v>
      </c>
      <c r="I2385">
        <v>1.45</v>
      </c>
      <c r="J2385">
        <v>0.15</v>
      </c>
      <c r="K2385">
        <v>0.05</v>
      </c>
    </row>
    <row r="2386" spans="1:11" x14ac:dyDescent="0.35">
      <c r="A2386" s="204">
        <v>41073</v>
      </c>
      <c r="B2386" s="544">
        <v>3</v>
      </c>
      <c r="C2386">
        <v>3.2</v>
      </c>
      <c r="D2386">
        <v>3.95</v>
      </c>
      <c r="E2386">
        <v>5.24</v>
      </c>
      <c r="F2386">
        <v>1.3</v>
      </c>
      <c r="G2386">
        <v>1.1299999999999999</v>
      </c>
      <c r="H2386">
        <v>2.0499999999999998</v>
      </c>
      <c r="I2386">
        <v>1.45</v>
      </c>
      <c r="J2386">
        <v>0.15</v>
      </c>
      <c r="K2386">
        <v>0.05</v>
      </c>
    </row>
    <row r="2387" spans="1:11" x14ac:dyDescent="0.35">
      <c r="A2387" s="204">
        <v>41080</v>
      </c>
      <c r="B2387" s="544">
        <v>3</v>
      </c>
      <c r="C2387">
        <v>3.2</v>
      </c>
      <c r="D2387">
        <v>3.95</v>
      </c>
      <c r="E2387">
        <v>5.24</v>
      </c>
      <c r="F2387">
        <v>1.3</v>
      </c>
      <c r="G2387">
        <v>1.1299999999999999</v>
      </c>
      <c r="H2387">
        <v>1.63</v>
      </c>
      <c r="I2387">
        <v>1.8</v>
      </c>
      <c r="J2387">
        <v>0.15</v>
      </c>
      <c r="K2387">
        <v>0.05</v>
      </c>
    </row>
    <row r="2388" spans="1:11" x14ac:dyDescent="0.35">
      <c r="A2388" s="204">
        <v>41087</v>
      </c>
      <c r="B2388" s="544">
        <v>3</v>
      </c>
      <c r="C2388">
        <v>3.2</v>
      </c>
      <c r="D2388">
        <v>3.95</v>
      </c>
      <c r="E2388">
        <v>5.24</v>
      </c>
      <c r="F2388">
        <v>1.3</v>
      </c>
      <c r="G2388">
        <v>1.1299999999999999</v>
      </c>
      <c r="H2388">
        <v>1.63</v>
      </c>
      <c r="I2388">
        <v>1.45</v>
      </c>
      <c r="J2388">
        <v>0.15</v>
      </c>
      <c r="K2388">
        <v>0.05</v>
      </c>
    </row>
    <row r="2389" spans="1:11" x14ac:dyDescent="0.35">
      <c r="A2389" s="204">
        <v>41094</v>
      </c>
      <c r="B2389" s="544">
        <v>3</v>
      </c>
      <c r="C2389">
        <v>3.2</v>
      </c>
      <c r="D2389">
        <v>3.95</v>
      </c>
      <c r="E2389">
        <v>5.24</v>
      </c>
      <c r="F2389">
        <v>1.3</v>
      </c>
      <c r="G2389">
        <v>1.1299999999999999</v>
      </c>
      <c r="H2389">
        <v>1.63</v>
      </c>
      <c r="I2389">
        <v>1.45</v>
      </c>
      <c r="J2389">
        <v>0.15</v>
      </c>
      <c r="K2389">
        <v>0.05</v>
      </c>
    </row>
    <row r="2390" spans="1:11" x14ac:dyDescent="0.35">
      <c r="A2390" s="204">
        <v>41101</v>
      </c>
      <c r="B2390" s="544">
        <v>3</v>
      </c>
      <c r="C2390">
        <v>3.2</v>
      </c>
      <c r="D2390">
        <v>3.95</v>
      </c>
      <c r="E2390">
        <v>5.24</v>
      </c>
      <c r="F2390">
        <v>1.3</v>
      </c>
      <c r="G2390">
        <v>1.1299999999999999</v>
      </c>
      <c r="H2390">
        <v>1.63</v>
      </c>
      <c r="I2390">
        <v>1.45</v>
      </c>
      <c r="J2390">
        <v>0.15</v>
      </c>
      <c r="K2390">
        <v>0.05</v>
      </c>
    </row>
    <row r="2391" spans="1:11" x14ac:dyDescent="0.35">
      <c r="A2391" s="204">
        <v>41108</v>
      </c>
      <c r="B2391" s="544">
        <v>3</v>
      </c>
      <c r="C2391">
        <v>3.1</v>
      </c>
      <c r="D2391">
        <v>3.95</v>
      </c>
      <c r="E2391">
        <v>5.24</v>
      </c>
      <c r="F2391">
        <v>0.78</v>
      </c>
      <c r="G2391">
        <v>1.1299999999999999</v>
      </c>
      <c r="H2391">
        <v>1.63</v>
      </c>
      <c r="I2391">
        <v>1.45</v>
      </c>
      <c r="J2391">
        <v>0.15</v>
      </c>
      <c r="K2391">
        <v>0.05</v>
      </c>
    </row>
    <row r="2392" spans="1:11" x14ac:dyDescent="0.35">
      <c r="A2392" s="204">
        <v>41115</v>
      </c>
      <c r="B2392" s="544">
        <v>3</v>
      </c>
      <c r="C2392">
        <v>3.1</v>
      </c>
      <c r="D2392">
        <v>3.95</v>
      </c>
      <c r="E2392">
        <v>5.24</v>
      </c>
      <c r="F2392">
        <v>0.78</v>
      </c>
      <c r="G2392">
        <v>1.1299999999999999</v>
      </c>
      <c r="H2392">
        <v>1.63</v>
      </c>
      <c r="I2392">
        <v>1.45</v>
      </c>
      <c r="J2392">
        <v>0.15</v>
      </c>
      <c r="K2392">
        <v>0.05</v>
      </c>
    </row>
    <row r="2393" spans="1:11" x14ac:dyDescent="0.35">
      <c r="A2393" s="204">
        <v>41122</v>
      </c>
      <c r="B2393" s="544">
        <v>3</v>
      </c>
      <c r="C2393">
        <v>3.1</v>
      </c>
      <c r="D2393">
        <v>3.95</v>
      </c>
      <c r="E2393">
        <v>5.24</v>
      </c>
      <c r="F2393">
        <v>0.78</v>
      </c>
      <c r="G2393">
        <v>1.1299999999999999</v>
      </c>
      <c r="H2393">
        <v>1.63</v>
      </c>
      <c r="I2393">
        <v>1.45</v>
      </c>
      <c r="J2393">
        <v>0.15</v>
      </c>
      <c r="K2393">
        <v>0.05</v>
      </c>
    </row>
    <row r="2394" spans="1:11" x14ac:dyDescent="0.35">
      <c r="A2394" s="204">
        <v>41129</v>
      </c>
      <c r="B2394" s="544">
        <v>3</v>
      </c>
      <c r="C2394">
        <v>3.1</v>
      </c>
      <c r="D2394">
        <v>3.95</v>
      </c>
      <c r="E2394">
        <v>5.24</v>
      </c>
      <c r="F2394">
        <v>0.78</v>
      </c>
      <c r="G2394">
        <v>1.1299999999999999</v>
      </c>
      <c r="H2394">
        <v>1.63</v>
      </c>
      <c r="I2394">
        <v>1.45</v>
      </c>
      <c r="J2394">
        <v>0.15</v>
      </c>
      <c r="K2394">
        <v>0.05</v>
      </c>
    </row>
    <row r="2395" spans="1:11" x14ac:dyDescent="0.35">
      <c r="A2395" s="204">
        <v>41136</v>
      </c>
      <c r="B2395" s="544">
        <v>3</v>
      </c>
      <c r="C2395">
        <v>3.1</v>
      </c>
      <c r="D2395">
        <v>3.95</v>
      </c>
      <c r="E2395">
        <v>5.24</v>
      </c>
      <c r="F2395">
        <v>0.78</v>
      </c>
      <c r="G2395">
        <v>1.1299999999999999</v>
      </c>
      <c r="H2395">
        <v>1.63</v>
      </c>
      <c r="I2395">
        <v>1.45</v>
      </c>
      <c r="J2395">
        <v>0.15</v>
      </c>
      <c r="K2395">
        <v>0.05</v>
      </c>
    </row>
    <row r="2396" spans="1:11" x14ac:dyDescent="0.35">
      <c r="A2396" s="204">
        <v>41143</v>
      </c>
      <c r="B2396" s="544">
        <v>3</v>
      </c>
      <c r="C2396">
        <v>3.1</v>
      </c>
      <c r="D2396">
        <v>3.95</v>
      </c>
      <c r="E2396">
        <v>5.24</v>
      </c>
      <c r="F2396">
        <v>0.78</v>
      </c>
      <c r="G2396">
        <v>1.1299999999999999</v>
      </c>
      <c r="H2396">
        <v>1.63</v>
      </c>
      <c r="I2396">
        <v>1.45</v>
      </c>
      <c r="J2396">
        <v>0.15</v>
      </c>
      <c r="K2396">
        <v>0.05</v>
      </c>
    </row>
    <row r="2397" spans="1:11" x14ac:dyDescent="0.35">
      <c r="A2397" s="204">
        <v>41150</v>
      </c>
      <c r="B2397" s="544">
        <v>3</v>
      </c>
      <c r="C2397">
        <v>3.1</v>
      </c>
      <c r="D2397">
        <v>4.05</v>
      </c>
      <c r="E2397">
        <v>5.24</v>
      </c>
      <c r="F2397">
        <v>0.78</v>
      </c>
      <c r="G2397">
        <v>1.1299999999999999</v>
      </c>
      <c r="H2397">
        <v>1.63</v>
      </c>
      <c r="I2397">
        <v>1.45</v>
      </c>
      <c r="J2397">
        <v>0.15</v>
      </c>
      <c r="K2397">
        <v>0.05</v>
      </c>
    </row>
    <row r="2398" spans="1:11" x14ac:dyDescent="0.35">
      <c r="A2398" s="204">
        <v>41157</v>
      </c>
      <c r="B2398" s="544">
        <v>3</v>
      </c>
      <c r="C2398">
        <v>3.1</v>
      </c>
      <c r="D2398">
        <v>4.05</v>
      </c>
      <c r="E2398">
        <v>5.24</v>
      </c>
      <c r="F2398">
        <v>0.78</v>
      </c>
      <c r="G2398">
        <v>1.1299999999999999</v>
      </c>
      <c r="H2398">
        <v>1.63</v>
      </c>
      <c r="I2398">
        <v>1.45</v>
      </c>
      <c r="J2398">
        <v>0.15</v>
      </c>
      <c r="K2398">
        <v>0.05</v>
      </c>
    </row>
    <row r="2399" spans="1:11" x14ac:dyDescent="0.35">
      <c r="A2399" s="204">
        <v>41164</v>
      </c>
      <c r="B2399" s="544">
        <v>3</v>
      </c>
      <c r="C2399">
        <v>3.1</v>
      </c>
      <c r="D2399">
        <v>4.05</v>
      </c>
      <c r="E2399">
        <v>5.24</v>
      </c>
      <c r="F2399">
        <v>0.78</v>
      </c>
      <c r="G2399">
        <v>1.1299999999999999</v>
      </c>
      <c r="H2399">
        <v>1.63</v>
      </c>
      <c r="I2399">
        <v>1.45</v>
      </c>
      <c r="J2399">
        <v>0.15</v>
      </c>
      <c r="K2399">
        <v>0.05</v>
      </c>
    </row>
    <row r="2400" spans="1:11" x14ac:dyDescent="0.35">
      <c r="A2400" s="204">
        <v>41171</v>
      </c>
      <c r="B2400" s="544">
        <v>3</v>
      </c>
      <c r="C2400">
        <v>3.1</v>
      </c>
      <c r="D2400">
        <v>4.05</v>
      </c>
      <c r="E2400">
        <v>5.24</v>
      </c>
      <c r="F2400">
        <v>0.78</v>
      </c>
      <c r="G2400">
        <v>1.1299999999999999</v>
      </c>
      <c r="H2400">
        <v>1.63</v>
      </c>
      <c r="I2400">
        <v>1.45</v>
      </c>
      <c r="J2400">
        <v>0.15</v>
      </c>
      <c r="K2400">
        <v>0.05</v>
      </c>
    </row>
    <row r="2401" spans="1:11" x14ac:dyDescent="0.35">
      <c r="A2401" s="204">
        <v>41178</v>
      </c>
      <c r="B2401" s="544">
        <v>3</v>
      </c>
      <c r="C2401">
        <v>3.1</v>
      </c>
      <c r="D2401">
        <v>3.85</v>
      </c>
      <c r="E2401">
        <v>5.24</v>
      </c>
      <c r="F2401">
        <v>0.78</v>
      </c>
      <c r="G2401">
        <v>1.1299999999999999</v>
      </c>
      <c r="H2401">
        <v>1.63</v>
      </c>
      <c r="I2401">
        <v>1.45</v>
      </c>
      <c r="J2401">
        <v>0.15</v>
      </c>
      <c r="K2401">
        <v>0.05</v>
      </c>
    </row>
    <row r="2402" spans="1:11" x14ac:dyDescent="0.35">
      <c r="A2402" s="204">
        <v>41185</v>
      </c>
      <c r="B2402" s="544">
        <v>3</v>
      </c>
      <c r="C2402">
        <v>3.1</v>
      </c>
      <c r="D2402">
        <v>3.85</v>
      </c>
      <c r="E2402">
        <v>5.24</v>
      </c>
      <c r="F2402">
        <v>0.78</v>
      </c>
      <c r="G2402">
        <v>1.1299999999999999</v>
      </c>
      <c r="H2402">
        <v>1.63</v>
      </c>
      <c r="I2402">
        <v>1.8</v>
      </c>
      <c r="J2402">
        <v>0.15</v>
      </c>
      <c r="K2402">
        <v>0.05</v>
      </c>
    </row>
    <row r="2403" spans="1:11" x14ac:dyDescent="0.35">
      <c r="A2403" s="204">
        <v>41192</v>
      </c>
      <c r="B2403" s="544">
        <v>3</v>
      </c>
      <c r="C2403">
        <v>3.1</v>
      </c>
      <c r="D2403">
        <v>3.85</v>
      </c>
      <c r="E2403">
        <v>5.24</v>
      </c>
      <c r="F2403">
        <v>0.78</v>
      </c>
      <c r="G2403">
        <v>1.1299999999999999</v>
      </c>
      <c r="H2403">
        <v>1.63</v>
      </c>
      <c r="I2403">
        <v>1.8</v>
      </c>
      <c r="J2403">
        <v>0.15</v>
      </c>
      <c r="K2403">
        <v>0.05</v>
      </c>
    </row>
    <row r="2404" spans="1:11" x14ac:dyDescent="0.35">
      <c r="A2404" s="204">
        <v>41199</v>
      </c>
      <c r="B2404" s="544">
        <v>3</v>
      </c>
      <c r="C2404">
        <v>3.1</v>
      </c>
      <c r="D2404">
        <v>3.85</v>
      </c>
      <c r="E2404">
        <v>5.24</v>
      </c>
      <c r="F2404">
        <v>0.78</v>
      </c>
      <c r="G2404">
        <v>1.1299999999999999</v>
      </c>
      <c r="H2404">
        <v>1.63</v>
      </c>
      <c r="I2404">
        <v>1.8</v>
      </c>
      <c r="J2404">
        <v>0.15</v>
      </c>
      <c r="K2404">
        <v>0.05</v>
      </c>
    </row>
    <row r="2405" spans="1:11" x14ac:dyDescent="0.35">
      <c r="A2405" s="204">
        <v>41206</v>
      </c>
      <c r="B2405" s="544">
        <v>3</v>
      </c>
      <c r="C2405">
        <v>3.1</v>
      </c>
      <c r="D2405">
        <v>3.85</v>
      </c>
      <c r="E2405">
        <v>5.24</v>
      </c>
      <c r="F2405">
        <v>0.78</v>
      </c>
      <c r="G2405">
        <v>1.1299999999999999</v>
      </c>
      <c r="H2405">
        <v>1.63</v>
      </c>
      <c r="I2405">
        <v>1.8</v>
      </c>
      <c r="J2405">
        <v>0.15</v>
      </c>
      <c r="K2405">
        <v>0.05</v>
      </c>
    </row>
    <row r="2406" spans="1:11" x14ac:dyDescent="0.35">
      <c r="A2406" s="204">
        <v>41213</v>
      </c>
      <c r="B2406" s="544">
        <v>3</v>
      </c>
      <c r="C2406">
        <v>3.1</v>
      </c>
      <c r="D2406">
        <v>3.7</v>
      </c>
      <c r="E2406">
        <v>5.24</v>
      </c>
      <c r="F2406">
        <v>0.78</v>
      </c>
      <c r="G2406">
        <v>1.1299999999999999</v>
      </c>
      <c r="H2406">
        <v>1.63</v>
      </c>
      <c r="I2406">
        <v>1.8</v>
      </c>
      <c r="J2406">
        <v>0.15</v>
      </c>
      <c r="K2406">
        <v>0.05</v>
      </c>
    </row>
    <row r="2407" spans="1:11" x14ac:dyDescent="0.35">
      <c r="A2407" s="204">
        <v>41220</v>
      </c>
      <c r="B2407" s="544">
        <v>3</v>
      </c>
      <c r="C2407">
        <v>3.1</v>
      </c>
      <c r="D2407">
        <v>3.7</v>
      </c>
      <c r="E2407">
        <v>5.24</v>
      </c>
      <c r="F2407">
        <v>0.78</v>
      </c>
      <c r="G2407">
        <v>1.1299999999999999</v>
      </c>
      <c r="H2407">
        <v>1.63</v>
      </c>
      <c r="I2407">
        <v>1.8</v>
      </c>
      <c r="J2407">
        <v>0.15</v>
      </c>
      <c r="K2407">
        <v>0.05</v>
      </c>
    </row>
    <row r="2408" spans="1:11" x14ac:dyDescent="0.35">
      <c r="A2408" s="204">
        <v>41227</v>
      </c>
      <c r="B2408" s="544">
        <v>3</v>
      </c>
      <c r="C2408">
        <v>3.1</v>
      </c>
      <c r="D2408">
        <v>3.7</v>
      </c>
      <c r="E2408">
        <v>5.24</v>
      </c>
      <c r="F2408">
        <v>0.78</v>
      </c>
      <c r="G2408">
        <v>1.1299999999999999</v>
      </c>
      <c r="H2408">
        <v>1.63</v>
      </c>
      <c r="I2408">
        <v>1.8</v>
      </c>
      <c r="J2408">
        <v>0.15</v>
      </c>
      <c r="K2408">
        <v>0.05</v>
      </c>
    </row>
    <row r="2409" spans="1:11" x14ac:dyDescent="0.35">
      <c r="A2409" s="204">
        <v>41234</v>
      </c>
      <c r="B2409" s="544">
        <v>3</v>
      </c>
      <c r="C2409">
        <v>3.1</v>
      </c>
      <c r="D2409">
        <v>3.7</v>
      </c>
      <c r="E2409">
        <v>5.24</v>
      </c>
      <c r="F2409">
        <v>0.78</v>
      </c>
      <c r="G2409">
        <v>1.1299999999999999</v>
      </c>
      <c r="H2409">
        <v>1.63</v>
      </c>
      <c r="I2409">
        <v>1.8</v>
      </c>
      <c r="J2409">
        <v>0.15</v>
      </c>
      <c r="K2409">
        <v>0.05</v>
      </c>
    </row>
    <row r="2410" spans="1:11" x14ac:dyDescent="0.35">
      <c r="A2410" s="204">
        <v>41241</v>
      </c>
      <c r="B2410" s="544">
        <v>3</v>
      </c>
      <c r="C2410">
        <v>3.1</v>
      </c>
      <c r="D2410">
        <v>3.7</v>
      </c>
      <c r="E2410">
        <v>5.24</v>
      </c>
      <c r="F2410">
        <v>0.78</v>
      </c>
      <c r="G2410">
        <v>1.1299999999999999</v>
      </c>
      <c r="H2410">
        <v>1.63</v>
      </c>
      <c r="I2410">
        <v>1.8</v>
      </c>
      <c r="J2410">
        <v>0.15</v>
      </c>
      <c r="K2410">
        <v>0.05</v>
      </c>
    </row>
    <row r="2411" spans="1:11" x14ac:dyDescent="0.35">
      <c r="A2411" s="204">
        <v>41248</v>
      </c>
      <c r="B2411" s="544">
        <v>3</v>
      </c>
      <c r="C2411">
        <v>3.1</v>
      </c>
      <c r="D2411">
        <v>3.7</v>
      </c>
      <c r="E2411">
        <v>5.24</v>
      </c>
      <c r="F2411">
        <v>0.78</v>
      </c>
      <c r="G2411">
        <v>1.1299999999999999</v>
      </c>
      <c r="H2411">
        <v>1.63</v>
      </c>
      <c r="I2411">
        <v>1.8</v>
      </c>
      <c r="J2411">
        <v>0.15</v>
      </c>
      <c r="K2411">
        <v>0.05</v>
      </c>
    </row>
    <row r="2412" spans="1:11" x14ac:dyDescent="0.35">
      <c r="A2412" s="204">
        <v>41255</v>
      </c>
      <c r="B2412" s="544">
        <v>3</v>
      </c>
      <c r="C2412">
        <v>3.1</v>
      </c>
      <c r="D2412">
        <v>3.7</v>
      </c>
      <c r="E2412">
        <v>5.24</v>
      </c>
      <c r="F2412">
        <v>0.78</v>
      </c>
      <c r="G2412">
        <v>1.1299999999999999</v>
      </c>
      <c r="H2412">
        <v>1.63</v>
      </c>
      <c r="I2412">
        <v>1.8</v>
      </c>
      <c r="J2412">
        <v>0.15</v>
      </c>
      <c r="K2412">
        <v>0.05</v>
      </c>
    </row>
    <row r="2413" spans="1:11" x14ac:dyDescent="0.35">
      <c r="A2413" s="204">
        <v>41262</v>
      </c>
      <c r="B2413" s="544">
        <v>3</v>
      </c>
      <c r="C2413">
        <v>3</v>
      </c>
      <c r="D2413">
        <v>3.7</v>
      </c>
      <c r="E2413">
        <v>5.24</v>
      </c>
      <c r="F2413">
        <v>0.78</v>
      </c>
      <c r="G2413">
        <v>1.1299999999999999</v>
      </c>
      <c r="H2413">
        <v>1.63</v>
      </c>
      <c r="I2413">
        <v>1.8</v>
      </c>
      <c r="J2413">
        <v>0.15</v>
      </c>
      <c r="K2413">
        <v>0.05</v>
      </c>
    </row>
    <row r="2414" spans="1:11" x14ac:dyDescent="0.35">
      <c r="A2414" s="204">
        <v>41269</v>
      </c>
      <c r="B2414" s="544">
        <v>3</v>
      </c>
      <c r="C2414">
        <v>3</v>
      </c>
      <c r="D2414">
        <v>3.7</v>
      </c>
      <c r="E2414">
        <v>5.24</v>
      </c>
      <c r="F2414">
        <v>0.78</v>
      </c>
      <c r="G2414">
        <v>1.1299999999999999</v>
      </c>
      <c r="H2414">
        <v>1.63</v>
      </c>
      <c r="I2414">
        <v>1.8</v>
      </c>
      <c r="J2414">
        <v>0.15</v>
      </c>
      <c r="K2414">
        <v>0.05</v>
      </c>
    </row>
    <row r="2415" spans="1:11" x14ac:dyDescent="0.35">
      <c r="A2415" s="204">
        <v>41276</v>
      </c>
      <c r="B2415" s="544">
        <v>3</v>
      </c>
      <c r="C2415">
        <v>3</v>
      </c>
      <c r="D2415">
        <v>3.7</v>
      </c>
      <c r="E2415">
        <v>5.24</v>
      </c>
      <c r="F2415">
        <v>0.78</v>
      </c>
      <c r="G2415">
        <v>1.1299999999999999</v>
      </c>
      <c r="H2415">
        <v>1.63</v>
      </c>
      <c r="I2415">
        <v>1.8</v>
      </c>
      <c r="J2415">
        <v>0.15</v>
      </c>
      <c r="K2415">
        <v>0.05</v>
      </c>
    </row>
    <row r="2416" spans="1:11" x14ac:dyDescent="0.35">
      <c r="A2416" s="204">
        <v>41283</v>
      </c>
      <c r="B2416" s="544">
        <v>3</v>
      </c>
      <c r="C2416">
        <v>3</v>
      </c>
      <c r="D2416">
        <v>3.7</v>
      </c>
      <c r="E2416">
        <v>5.24</v>
      </c>
      <c r="F2416">
        <v>0.78</v>
      </c>
      <c r="G2416">
        <v>1.1299999999999999</v>
      </c>
      <c r="H2416">
        <v>1.63</v>
      </c>
      <c r="I2416">
        <v>1.8</v>
      </c>
      <c r="J2416">
        <v>0.15</v>
      </c>
      <c r="K2416">
        <v>0.05</v>
      </c>
    </row>
    <row r="2417" spans="1:11" x14ac:dyDescent="0.35">
      <c r="A2417" s="204">
        <v>41290</v>
      </c>
      <c r="B2417" s="544">
        <v>3</v>
      </c>
      <c r="C2417">
        <v>3</v>
      </c>
      <c r="D2417">
        <v>3.65</v>
      </c>
      <c r="E2417">
        <v>5.24</v>
      </c>
      <c r="F2417">
        <v>0.78</v>
      </c>
      <c r="G2417">
        <v>1.1299999999999999</v>
      </c>
      <c r="H2417">
        <v>1.63</v>
      </c>
      <c r="I2417">
        <v>1.8</v>
      </c>
      <c r="J2417">
        <v>0.15</v>
      </c>
      <c r="K2417">
        <v>0.05</v>
      </c>
    </row>
    <row r="2418" spans="1:11" x14ac:dyDescent="0.35">
      <c r="A2418" s="204">
        <v>41297</v>
      </c>
      <c r="B2418" s="544">
        <v>3</v>
      </c>
      <c r="C2418">
        <v>3</v>
      </c>
      <c r="D2418">
        <v>3.65</v>
      </c>
      <c r="E2418">
        <v>5.24</v>
      </c>
      <c r="F2418">
        <v>0.78</v>
      </c>
      <c r="G2418">
        <v>1.1299999999999999</v>
      </c>
      <c r="H2418">
        <v>1.63</v>
      </c>
      <c r="I2418">
        <v>1.45</v>
      </c>
      <c r="J2418">
        <v>0.15</v>
      </c>
      <c r="K2418">
        <v>0.05</v>
      </c>
    </row>
    <row r="2419" spans="1:11" x14ac:dyDescent="0.35">
      <c r="A2419" s="204">
        <v>41304</v>
      </c>
      <c r="B2419" s="544">
        <v>3</v>
      </c>
      <c r="C2419">
        <v>3</v>
      </c>
      <c r="D2419">
        <v>3.65</v>
      </c>
      <c r="E2419">
        <v>5.24</v>
      </c>
      <c r="F2419">
        <v>0.78</v>
      </c>
      <c r="G2419">
        <v>1.1299999999999999</v>
      </c>
      <c r="H2419">
        <v>1.63</v>
      </c>
      <c r="I2419">
        <v>1.45</v>
      </c>
      <c r="J2419">
        <v>0.15</v>
      </c>
      <c r="K2419">
        <v>0.05</v>
      </c>
    </row>
    <row r="2420" spans="1:11" x14ac:dyDescent="0.35">
      <c r="A2420" s="204">
        <v>41311</v>
      </c>
      <c r="B2420" s="544">
        <v>3</v>
      </c>
      <c r="C2420">
        <v>3</v>
      </c>
      <c r="D2420">
        <v>3.65</v>
      </c>
      <c r="E2420">
        <v>5.24</v>
      </c>
      <c r="F2420">
        <v>0.78</v>
      </c>
      <c r="G2420">
        <v>1.1299999999999999</v>
      </c>
      <c r="H2420">
        <v>1.63</v>
      </c>
      <c r="I2420">
        <v>1.45</v>
      </c>
      <c r="J2420">
        <v>0.15</v>
      </c>
      <c r="K2420">
        <v>0.05</v>
      </c>
    </row>
    <row r="2421" spans="1:11" x14ac:dyDescent="0.35">
      <c r="A2421" s="204">
        <v>41318</v>
      </c>
      <c r="B2421" s="544">
        <v>3</v>
      </c>
      <c r="C2421">
        <v>3</v>
      </c>
      <c r="D2421">
        <v>3.65</v>
      </c>
      <c r="E2421">
        <v>5.24</v>
      </c>
      <c r="F2421">
        <v>0.78</v>
      </c>
      <c r="G2421">
        <v>1.1299999999999999</v>
      </c>
      <c r="H2421">
        <v>1.63</v>
      </c>
      <c r="I2421">
        <v>1.45</v>
      </c>
      <c r="J2421">
        <v>0.15</v>
      </c>
      <c r="K2421">
        <v>0.05</v>
      </c>
    </row>
    <row r="2422" spans="1:11" x14ac:dyDescent="0.35">
      <c r="A2422" s="204">
        <v>41325</v>
      </c>
      <c r="B2422" s="544">
        <v>3</v>
      </c>
      <c r="C2422">
        <v>3</v>
      </c>
      <c r="D2422">
        <v>3.65</v>
      </c>
      <c r="E2422">
        <v>5.24</v>
      </c>
      <c r="F2422">
        <v>0.78</v>
      </c>
      <c r="G2422">
        <v>1.1299999999999999</v>
      </c>
      <c r="H2422">
        <v>1.63</v>
      </c>
      <c r="I2422">
        <v>1.45</v>
      </c>
      <c r="J2422">
        <v>0.15</v>
      </c>
      <c r="K2422">
        <v>0.05</v>
      </c>
    </row>
    <row r="2423" spans="1:11" x14ac:dyDescent="0.35">
      <c r="A2423" s="204">
        <v>41332</v>
      </c>
      <c r="B2423" s="544">
        <v>3</v>
      </c>
      <c r="C2423">
        <v>3</v>
      </c>
      <c r="D2423">
        <v>3.65</v>
      </c>
      <c r="E2423">
        <v>5.24</v>
      </c>
      <c r="F2423">
        <v>0.78</v>
      </c>
      <c r="G2423">
        <v>1.1299999999999999</v>
      </c>
      <c r="H2423">
        <v>1.63</v>
      </c>
      <c r="I2423">
        <v>1.45</v>
      </c>
      <c r="J2423">
        <v>0.15</v>
      </c>
      <c r="K2423">
        <v>0.05</v>
      </c>
    </row>
    <row r="2424" spans="1:11" x14ac:dyDescent="0.35">
      <c r="A2424" s="204">
        <v>41339</v>
      </c>
      <c r="B2424" s="544">
        <v>3</v>
      </c>
      <c r="C2424">
        <v>3</v>
      </c>
      <c r="D2424">
        <v>3.65</v>
      </c>
      <c r="E2424">
        <v>5.24</v>
      </c>
      <c r="F2424">
        <v>0.78</v>
      </c>
      <c r="G2424">
        <v>1.1299999999999999</v>
      </c>
      <c r="H2424">
        <v>1.63</v>
      </c>
      <c r="I2424">
        <v>1.45</v>
      </c>
      <c r="J2424">
        <v>0.15</v>
      </c>
      <c r="K2424">
        <v>0.05</v>
      </c>
    </row>
    <row r="2425" spans="1:11" x14ac:dyDescent="0.35">
      <c r="A2425" s="204">
        <v>41346</v>
      </c>
      <c r="B2425" s="544">
        <v>3</v>
      </c>
      <c r="C2425">
        <v>3</v>
      </c>
      <c r="D2425">
        <v>3.55</v>
      </c>
      <c r="E2425">
        <v>5.14</v>
      </c>
      <c r="F2425">
        <v>0.78</v>
      </c>
      <c r="G2425">
        <v>1.1299999999999999</v>
      </c>
      <c r="H2425">
        <v>1.63</v>
      </c>
      <c r="I2425">
        <v>1.45</v>
      </c>
      <c r="J2425">
        <v>0.15</v>
      </c>
      <c r="K2425">
        <v>0.05</v>
      </c>
    </row>
    <row r="2426" spans="1:11" x14ac:dyDescent="0.35">
      <c r="A2426" s="204">
        <v>41353</v>
      </c>
      <c r="B2426" s="544">
        <v>3</v>
      </c>
      <c r="C2426">
        <v>3</v>
      </c>
      <c r="D2426">
        <v>3.55</v>
      </c>
      <c r="E2426">
        <v>5.14</v>
      </c>
      <c r="F2426">
        <v>0.78</v>
      </c>
      <c r="G2426">
        <v>1.1299999999999999</v>
      </c>
      <c r="H2426">
        <v>1.63</v>
      </c>
      <c r="I2426">
        <v>1.45</v>
      </c>
      <c r="J2426">
        <v>0.15</v>
      </c>
      <c r="K2426">
        <v>0.05</v>
      </c>
    </row>
    <row r="2427" spans="1:11" x14ac:dyDescent="0.35">
      <c r="A2427" s="204">
        <v>41360</v>
      </c>
      <c r="B2427" s="544">
        <v>3</v>
      </c>
      <c r="C2427">
        <v>3</v>
      </c>
      <c r="D2427">
        <v>3.55</v>
      </c>
      <c r="E2427">
        <v>5.14</v>
      </c>
      <c r="F2427">
        <v>0.78</v>
      </c>
      <c r="G2427">
        <v>1.1299999999999999</v>
      </c>
      <c r="H2427">
        <v>1.63</v>
      </c>
      <c r="I2427">
        <v>1.45</v>
      </c>
      <c r="J2427">
        <v>0.15</v>
      </c>
      <c r="K2427">
        <v>0.05</v>
      </c>
    </row>
    <row r="2428" spans="1:11" x14ac:dyDescent="0.35">
      <c r="A2428" s="204">
        <v>41367</v>
      </c>
      <c r="B2428" s="544">
        <v>3</v>
      </c>
      <c r="C2428">
        <v>3</v>
      </c>
      <c r="D2428">
        <v>3.55</v>
      </c>
      <c r="E2428">
        <v>5.14</v>
      </c>
      <c r="F2428">
        <v>0.78</v>
      </c>
      <c r="G2428">
        <v>1.1299999999999999</v>
      </c>
      <c r="H2428">
        <v>1.63</v>
      </c>
      <c r="I2428">
        <v>1.45</v>
      </c>
      <c r="J2428">
        <v>0.15</v>
      </c>
      <c r="K2428">
        <v>0.05</v>
      </c>
    </row>
    <row r="2429" spans="1:11" x14ac:dyDescent="0.35">
      <c r="A2429" s="204">
        <v>41374</v>
      </c>
      <c r="B2429" s="544">
        <v>3</v>
      </c>
      <c r="C2429">
        <v>3</v>
      </c>
      <c r="D2429">
        <v>3.55</v>
      </c>
      <c r="E2429">
        <v>5.14</v>
      </c>
      <c r="F2429">
        <v>0.78</v>
      </c>
      <c r="G2429">
        <v>1.1299999999999999</v>
      </c>
      <c r="H2429">
        <v>1.63</v>
      </c>
      <c r="I2429">
        <v>1.45</v>
      </c>
      <c r="J2429">
        <v>0.15</v>
      </c>
      <c r="K2429">
        <v>0.05</v>
      </c>
    </row>
    <row r="2430" spans="1:11" x14ac:dyDescent="0.35">
      <c r="A2430" s="204">
        <v>41381</v>
      </c>
      <c r="B2430" s="544">
        <v>3</v>
      </c>
      <c r="C2430">
        <v>3</v>
      </c>
      <c r="D2430">
        <v>3.55</v>
      </c>
      <c r="E2430">
        <v>5.14</v>
      </c>
      <c r="F2430">
        <v>0.78</v>
      </c>
      <c r="G2430">
        <v>1.1299999999999999</v>
      </c>
      <c r="H2430">
        <v>1.63</v>
      </c>
      <c r="I2430">
        <v>1.45</v>
      </c>
      <c r="J2430">
        <v>0.15</v>
      </c>
      <c r="K2430">
        <v>0.05</v>
      </c>
    </row>
    <row r="2431" spans="1:11" x14ac:dyDescent="0.35">
      <c r="A2431" s="204">
        <v>41388</v>
      </c>
      <c r="B2431" s="544">
        <v>3</v>
      </c>
      <c r="C2431">
        <v>3</v>
      </c>
      <c r="D2431">
        <v>3.55</v>
      </c>
      <c r="E2431">
        <v>5.14</v>
      </c>
      <c r="F2431">
        <v>0.78</v>
      </c>
      <c r="G2431">
        <v>1.1299999999999999</v>
      </c>
      <c r="H2431">
        <v>1.63</v>
      </c>
      <c r="I2431">
        <v>1.45</v>
      </c>
      <c r="J2431">
        <v>0.15</v>
      </c>
      <c r="K2431">
        <v>0.05</v>
      </c>
    </row>
    <row r="2432" spans="1:11" x14ac:dyDescent="0.35">
      <c r="A2432" s="204">
        <v>41395</v>
      </c>
      <c r="B2432" s="544">
        <v>3</v>
      </c>
      <c r="C2432">
        <v>3</v>
      </c>
      <c r="D2432">
        <v>3.55</v>
      </c>
      <c r="E2432">
        <v>5.14</v>
      </c>
      <c r="F2432">
        <v>0.78</v>
      </c>
      <c r="G2432">
        <v>1.1299999999999999</v>
      </c>
      <c r="H2432">
        <v>1.63</v>
      </c>
      <c r="I2432">
        <v>1.45</v>
      </c>
      <c r="J2432">
        <v>0.15</v>
      </c>
      <c r="K2432">
        <v>0.05</v>
      </c>
    </row>
    <row r="2433" spans="1:11" x14ac:dyDescent="0.35">
      <c r="A2433" s="204">
        <v>41402</v>
      </c>
      <c r="B2433" s="544">
        <v>3</v>
      </c>
      <c r="C2433">
        <v>3</v>
      </c>
      <c r="D2433">
        <v>3.55</v>
      </c>
      <c r="E2433">
        <v>5.14</v>
      </c>
      <c r="F2433">
        <v>0.78</v>
      </c>
      <c r="G2433">
        <v>1.1299999999999999</v>
      </c>
      <c r="H2433">
        <v>1.63</v>
      </c>
      <c r="I2433">
        <v>1.45</v>
      </c>
      <c r="J2433">
        <v>0.15</v>
      </c>
      <c r="K2433">
        <v>0.05</v>
      </c>
    </row>
    <row r="2434" spans="1:11" x14ac:dyDescent="0.35">
      <c r="A2434" s="204">
        <v>41409</v>
      </c>
      <c r="B2434" s="544">
        <v>3</v>
      </c>
      <c r="C2434">
        <v>3</v>
      </c>
      <c r="D2434">
        <v>3.55</v>
      </c>
      <c r="E2434">
        <v>5.14</v>
      </c>
      <c r="F2434">
        <v>0.78</v>
      </c>
      <c r="G2434">
        <v>1.1299999999999999</v>
      </c>
      <c r="H2434">
        <v>1.63</v>
      </c>
      <c r="I2434">
        <v>1.45</v>
      </c>
      <c r="J2434">
        <v>0.15</v>
      </c>
      <c r="K2434">
        <v>0.05</v>
      </c>
    </row>
    <row r="2435" spans="1:11" x14ac:dyDescent="0.35">
      <c r="A2435" s="204">
        <v>41416</v>
      </c>
      <c r="B2435" s="544">
        <v>3</v>
      </c>
      <c r="C2435">
        <v>3</v>
      </c>
      <c r="D2435">
        <v>3.55</v>
      </c>
      <c r="E2435">
        <v>5.14</v>
      </c>
      <c r="F2435">
        <v>0.78</v>
      </c>
      <c r="G2435">
        <v>1.1299999999999999</v>
      </c>
      <c r="H2435">
        <v>1.63</v>
      </c>
      <c r="I2435">
        <v>1.45</v>
      </c>
      <c r="J2435">
        <v>0.15</v>
      </c>
      <c r="K2435">
        <v>0.05</v>
      </c>
    </row>
    <row r="2436" spans="1:11" x14ac:dyDescent="0.35">
      <c r="A2436" s="204">
        <v>41423</v>
      </c>
      <c r="B2436" s="544">
        <v>3</v>
      </c>
      <c r="C2436">
        <v>3</v>
      </c>
      <c r="D2436">
        <v>3.55</v>
      </c>
      <c r="E2436">
        <v>5.14</v>
      </c>
      <c r="F2436">
        <v>0.78</v>
      </c>
      <c r="G2436">
        <v>1.1299999999999999</v>
      </c>
      <c r="H2436">
        <v>1.63</v>
      </c>
      <c r="I2436">
        <v>1.45</v>
      </c>
      <c r="J2436">
        <v>0.15</v>
      </c>
      <c r="K2436">
        <v>0.05</v>
      </c>
    </row>
    <row r="2437" spans="1:11" x14ac:dyDescent="0.35">
      <c r="A2437" s="204">
        <v>41430</v>
      </c>
      <c r="B2437" s="544">
        <v>3</v>
      </c>
      <c r="C2437">
        <v>3</v>
      </c>
      <c r="D2437">
        <v>3.55</v>
      </c>
      <c r="E2437">
        <v>5.14</v>
      </c>
      <c r="F2437">
        <v>0.78</v>
      </c>
      <c r="G2437">
        <v>1.1299999999999999</v>
      </c>
      <c r="H2437">
        <v>1.63</v>
      </c>
      <c r="I2437">
        <v>1.45</v>
      </c>
      <c r="J2437">
        <v>0.15</v>
      </c>
      <c r="K2437">
        <v>0.05</v>
      </c>
    </row>
    <row r="2438" spans="1:11" x14ac:dyDescent="0.35">
      <c r="A2438" s="204">
        <v>41437</v>
      </c>
      <c r="B2438" s="544">
        <v>3</v>
      </c>
      <c r="C2438">
        <v>3.14</v>
      </c>
      <c r="D2438">
        <v>3.55</v>
      </c>
      <c r="E2438">
        <v>5.14</v>
      </c>
      <c r="F2438">
        <v>0.78</v>
      </c>
      <c r="G2438">
        <v>1.1299999999999999</v>
      </c>
      <c r="H2438">
        <v>1.63</v>
      </c>
      <c r="I2438">
        <v>1.45</v>
      </c>
      <c r="J2438">
        <v>0.15</v>
      </c>
      <c r="K2438">
        <v>0.05</v>
      </c>
    </row>
    <row r="2439" spans="1:11" x14ac:dyDescent="0.35">
      <c r="A2439" s="204">
        <v>41444</v>
      </c>
      <c r="B2439" s="544">
        <v>3</v>
      </c>
      <c r="C2439">
        <v>3.14</v>
      </c>
      <c r="D2439">
        <v>3.65</v>
      </c>
      <c r="E2439">
        <v>5.14</v>
      </c>
      <c r="F2439">
        <v>0.78</v>
      </c>
      <c r="G2439">
        <v>1.1299999999999999</v>
      </c>
      <c r="H2439">
        <v>1.63</v>
      </c>
      <c r="I2439">
        <v>1.45</v>
      </c>
      <c r="J2439">
        <v>0.15</v>
      </c>
      <c r="K2439">
        <v>0.05</v>
      </c>
    </row>
    <row r="2440" spans="1:11" x14ac:dyDescent="0.35">
      <c r="A2440" s="204">
        <v>41451</v>
      </c>
      <c r="B2440" s="544">
        <v>3</v>
      </c>
      <c r="C2440">
        <v>3.14</v>
      </c>
      <c r="D2440">
        <v>3.65</v>
      </c>
      <c r="E2440">
        <v>5.14</v>
      </c>
      <c r="F2440">
        <v>0.78</v>
      </c>
      <c r="G2440">
        <v>1.1299999999999999</v>
      </c>
      <c r="H2440">
        <v>1.63</v>
      </c>
      <c r="I2440">
        <v>1.45</v>
      </c>
      <c r="J2440">
        <v>0.15</v>
      </c>
      <c r="K2440">
        <v>0.05</v>
      </c>
    </row>
    <row r="2441" spans="1:11" x14ac:dyDescent="0.35">
      <c r="A2441" s="204">
        <v>41458</v>
      </c>
      <c r="B2441" s="544">
        <v>3</v>
      </c>
      <c r="C2441">
        <v>3.14</v>
      </c>
      <c r="D2441">
        <v>3.75</v>
      </c>
      <c r="E2441">
        <v>5.14</v>
      </c>
      <c r="F2441">
        <v>0.78</v>
      </c>
      <c r="G2441">
        <v>1.1299999999999999</v>
      </c>
      <c r="H2441">
        <v>1.63</v>
      </c>
      <c r="I2441">
        <v>1.45</v>
      </c>
      <c r="J2441">
        <v>0.15</v>
      </c>
      <c r="K2441">
        <v>0.05</v>
      </c>
    </row>
    <row r="2442" spans="1:11" x14ac:dyDescent="0.35">
      <c r="A2442" s="204">
        <v>41465</v>
      </c>
      <c r="B2442" s="544">
        <v>3</v>
      </c>
      <c r="C2442">
        <v>3.14</v>
      </c>
      <c r="D2442">
        <v>3.75</v>
      </c>
      <c r="E2442">
        <v>5.14</v>
      </c>
      <c r="F2442">
        <v>0.78</v>
      </c>
      <c r="G2442">
        <v>1.1299999999999999</v>
      </c>
      <c r="H2442">
        <v>1.63</v>
      </c>
      <c r="I2442">
        <v>1.45</v>
      </c>
      <c r="J2442">
        <v>0.15</v>
      </c>
      <c r="K2442">
        <v>0.05</v>
      </c>
    </row>
    <row r="2443" spans="1:11" x14ac:dyDescent="0.35">
      <c r="A2443" s="204">
        <v>41472</v>
      </c>
      <c r="B2443" s="544">
        <v>3</v>
      </c>
      <c r="C2443">
        <v>3.14</v>
      </c>
      <c r="D2443">
        <v>3.75</v>
      </c>
      <c r="E2443">
        <v>5.14</v>
      </c>
      <c r="F2443">
        <v>0.78</v>
      </c>
      <c r="G2443">
        <v>1.1299999999999999</v>
      </c>
      <c r="H2443">
        <v>1.63</v>
      </c>
      <c r="I2443">
        <v>1.45</v>
      </c>
      <c r="J2443">
        <v>0.15</v>
      </c>
      <c r="K2443">
        <v>0.05</v>
      </c>
    </row>
    <row r="2444" spans="1:11" x14ac:dyDescent="0.35">
      <c r="A2444" s="204">
        <v>41479</v>
      </c>
      <c r="B2444" s="544">
        <v>3</v>
      </c>
      <c r="C2444">
        <v>3.14</v>
      </c>
      <c r="D2444">
        <v>3.75</v>
      </c>
      <c r="E2444">
        <v>5.14</v>
      </c>
      <c r="F2444">
        <v>0.78</v>
      </c>
      <c r="G2444">
        <v>1.1299999999999999</v>
      </c>
      <c r="H2444">
        <v>1.63</v>
      </c>
      <c r="I2444">
        <v>1.45</v>
      </c>
      <c r="J2444">
        <v>0.15</v>
      </c>
      <c r="K2444">
        <v>0.05</v>
      </c>
    </row>
    <row r="2445" spans="1:11" x14ac:dyDescent="0.35">
      <c r="A2445" s="204">
        <v>41486</v>
      </c>
      <c r="B2445" s="544">
        <v>3</v>
      </c>
      <c r="C2445">
        <v>3.14</v>
      </c>
      <c r="D2445">
        <v>3.75</v>
      </c>
      <c r="E2445">
        <v>5.14</v>
      </c>
      <c r="F2445">
        <v>0.78</v>
      </c>
      <c r="G2445">
        <v>1.1299999999999999</v>
      </c>
      <c r="H2445">
        <v>1.63</v>
      </c>
      <c r="I2445">
        <v>1.45</v>
      </c>
      <c r="J2445">
        <v>0.15</v>
      </c>
      <c r="K2445">
        <v>0.05</v>
      </c>
    </row>
    <row r="2446" spans="1:11" x14ac:dyDescent="0.35">
      <c r="A2446" s="204">
        <v>41493</v>
      </c>
      <c r="B2446" s="544">
        <v>3</v>
      </c>
      <c r="C2446">
        <v>3.14</v>
      </c>
      <c r="D2446">
        <v>3.75</v>
      </c>
      <c r="E2446">
        <v>5.14</v>
      </c>
      <c r="F2446">
        <v>0.78</v>
      </c>
      <c r="G2446">
        <v>1.1299999999999999</v>
      </c>
      <c r="H2446">
        <v>1.63</v>
      </c>
      <c r="I2446">
        <v>1.45</v>
      </c>
      <c r="J2446">
        <v>0.15</v>
      </c>
      <c r="K2446">
        <v>0.05</v>
      </c>
    </row>
    <row r="2447" spans="1:11" x14ac:dyDescent="0.35">
      <c r="A2447" s="204">
        <v>41500</v>
      </c>
      <c r="B2447" s="544">
        <v>3</v>
      </c>
      <c r="C2447">
        <v>3.14</v>
      </c>
      <c r="D2447">
        <v>3.75</v>
      </c>
      <c r="E2447">
        <v>5.14</v>
      </c>
      <c r="F2447">
        <v>0.78</v>
      </c>
      <c r="G2447">
        <v>1.1299999999999999</v>
      </c>
      <c r="H2447">
        <v>1.63</v>
      </c>
      <c r="I2447">
        <v>1.45</v>
      </c>
      <c r="J2447">
        <v>0.15</v>
      </c>
      <c r="K2447">
        <v>0.05</v>
      </c>
    </row>
    <row r="2448" spans="1:11" x14ac:dyDescent="0.35">
      <c r="A2448" s="204">
        <v>41507</v>
      </c>
      <c r="B2448" s="544">
        <v>3</v>
      </c>
      <c r="C2448">
        <v>3.14</v>
      </c>
      <c r="D2448">
        <v>3.75</v>
      </c>
      <c r="E2448">
        <v>5.14</v>
      </c>
      <c r="F2448">
        <v>0.78</v>
      </c>
      <c r="G2448">
        <v>1.1299999999999999</v>
      </c>
      <c r="H2448">
        <v>1.63</v>
      </c>
      <c r="I2448">
        <v>1.45</v>
      </c>
      <c r="J2448">
        <v>0.15</v>
      </c>
      <c r="K2448">
        <v>0.05</v>
      </c>
    </row>
    <row r="2449" spans="1:11" x14ac:dyDescent="0.35">
      <c r="A2449" s="204">
        <v>41514</v>
      </c>
      <c r="B2449" s="544">
        <v>3</v>
      </c>
      <c r="C2449">
        <v>3.14</v>
      </c>
      <c r="D2449">
        <v>3.95</v>
      </c>
      <c r="E2449">
        <v>5.34</v>
      </c>
      <c r="F2449">
        <v>0.78</v>
      </c>
      <c r="G2449">
        <v>1.1299999999999999</v>
      </c>
      <c r="H2449">
        <v>1.63</v>
      </c>
      <c r="I2449">
        <v>1.45</v>
      </c>
      <c r="J2449">
        <v>0.15</v>
      </c>
      <c r="K2449">
        <v>0.05</v>
      </c>
    </row>
    <row r="2450" spans="1:11" x14ac:dyDescent="0.35">
      <c r="A2450" s="204">
        <v>41521</v>
      </c>
      <c r="B2450" s="544">
        <v>3</v>
      </c>
      <c r="C2450">
        <v>3.14</v>
      </c>
      <c r="D2450">
        <v>3.95</v>
      </c>
      <c r="E2450">
        <v>5.34</v>
      </c>
      <c r="F2450">
        <v>0.78</v>
      </c>
      <c r="G2450">
        <v>1.1299999999999999</v>
      </c>
      <c r="H2450">
        <v>1.63</v>
      </c>
      <c r="I2450">
        <v>1.45</v>
      </c>
      <c r="J2450">
        <v>0.15</v>
      </c>
      <c r="K2450">
        <v>0.05</v>
      </c>
    </row>
    <row r="2451" spans="1:11" x14ac:dyDescent="0.35">
      <c r="A2451" s="204">
        <v>41528</v>
      </c>
      <c r="B2451" s="544">
        <v>3</v>
      </c>
      <c r="C2451">
        <v>3.14</v>
      </c>
      <c r="D2451">
        <v>3.95</v>
      </c>
      <c r="E2451">
        <v>5.34</v>
      </c>
      <c r="F2451">
        <v>0.78</v>
      </c>
      <c r="G2451">
        <v>1.1299999999999999</v>
      </c>
      <c r="H2451">
        <v>1.63</v>
      </c>
      <c r="I2451">
        <v>1.45</v>
      </c>
      <c r="J2451">
        <v>0.15</v>
      </c>
      <c r="K2451">
        <v>0.05</v>
      </c>
    </row>
    <row r="2452" spans="1:11" x14ac:dyDescent="0.35">
      <c r="A2452" s="204">
        <v>41535</v>
      </c>
      <c r="B2452" s="544">
        <v>3</v>
      </c>
      <c r="C2452">
        <v>3.14</v>
      </c>
      <c r="D2452">
        <v>3.95</v>
      </c>
      <c r="E2452">
        <v>5.34</v>
      </c>
      <c r="F2452">
        <v>0.78</v>
      </c>
      <c r="G2452">
        <v>1.1299999999999999</v>
      </c>
      <c r="H2452">
        <v>1.63</v>
      </c>
      <c r="I2452">
        <v>1.45</v>
      </c>
      <c r="J2452">
        <v>0.15</v>
      </c>
      <c r="K2452">
        <v>0.05</v>
      </c>
    </row>
    <row r="2453" spans="1:11" x14ac:dyDescent="0.35">
      <c r="A2453" s="204">
        <v>41542</v>
      </c>
      <c r="B2453" s="544">
        <v>3</v>
      </c>
      <c r="C2453">
        <v>3.14</v>
      </c>
      <c r="D2453">
        <v>3.95</v>
      </c>
      <c r="E2453">
        <v>5.34</v>
      </c>
      <c r="F2453">
        <v>0.78</v>
      </c>
      <c r="G2453">
        <v>1.1299999999999999</v>
      </c>
      <c r="H2453">
        <v>1.63</v>
      </c>
      <c r="I2453">
        <v>1.45</v>
      </c>
      <c r="J2453">
        <v>0.15</v>
      </c>
      <c r="K2453">
        <v>0.05</v>
      </c>
    </row>
    <row r="2454" spans="1:11" x14ac:dyDescent="0.35">
      <c r="A2454" s="204">
        <v>41549</v>
      </c>
      <c r="B2454" s="544">
        <v>3</v>
      </c>
      <c r="C2454">
        <v>3.14</v>
      </c>
      <c r="D2454">
        <v>3.95</v>
      </c>
      <c r="E2454">
        <v>5.34</v>
      </c>
      <c r="F2454">
        <v>0.78</v>
      </c>
      <c r="G2454">
        <v>1.1299999999999999</v>
      </c>
      <c r="H2454">
        <v>1.63</v>
      </c>
      <c r="I2454">
        <v>1.45</v>
      </c>
      <c r="J2454">
        <v>0.15</v>
      </c>
      <c r="K2454">
        <v>0.05</v>
      </c>
    </row>
    <row r="2455" spans="1:11" x14ac:dyDescent="0.35">
      <c r="A2455" s="204">
        <v>41556</v>
      </c>
      <c r="B2455" s="544">
        <v>3</v>
      </c>
      <c r="C2455">
        <v>3.14</v>
      </c>
      <c r="D2455">
        <v>3.95</v>
      </c>
      <c r="E2455">
        <v>5.34</v>
      </c>
      <c r="F2455">
        <v>0.78</v>
      </c>
      <c r="G2455">
        <v>1.1299999999999999</v>
      </c>
      <c r="H2455">
        <v>1.63</v>
      </c>
      <c r="I2455">
        <v>1.45</v>
      </c>
      <c r="J2455">
        <v>0.15</v>
      </c>
      <c r="K2455">
        <v>0.05</v>
      </c>
    </row>
    <row r="2456" spans="1:11" x14ac:dyDescent="0.35">
      <c r="A2456" s="204">
        <v>41563</v>
      </c>
      <c r="B2456" s="544">
        <v>3</v>
      </c>
      <c r="C2456">
        <v>3.14</v>
      </c>
      <c r="D2456">
        <v>3.95</v>
      </c>
      <c r="E2456">
        <v>5.34</v>
      </c>
      <c r="F2456">
        <v>0.78</v>
      </c>
      <c r="G2456">
        <v>1.1299999999999999</v>
      </c>
      <c r="H2456">
        <v>1.63</v>
      </c>
      <c r="I2456">
        <v>1.45</v>
      </c>
      <c r="J2456">
        <v>0.15</v>
      </c>
      <c r="K2456">
        <v>0.05</v>
      </c>
    </row>
    <row r="2457" spans="1:11" x14ac:dyDescent="0.35">
      <c r="A2457" s="204">
        <v>41570</v>
      </c>
      <c r="B2457" s="544">
        <v>3</v>
      </c>
      <c r="C2457">
        <v>3.14</v>
      </c>
      <c r="D2457">
        <v>3.95</v>
      </c>
      <c r="E2457">
        <v>5.34</v>
      </c>
      <c r="F2457">
        <v>0.78</v>
      </c>
      <c r="G2457">
        <v>1.1299999999999999</v>
      </c>
      <c r="H2457">
        <v>1.63</v>
      </c>
      <c r="I2457">
        <v>1.45</v>
      </c>
      <c r="J2457">
        <v>0.15</v>
      </c>
      <c r="K2457">
        <v>0.05</v>
      </c>
    </row>
    <row r="2458" spans="1:11" x14ac:dyDescent="0.35">
      <c r="A2458" s="204">
        <v>41577</v>
      </c>
      <c r="B2458" s="544">
        <v>3</v>
      </c>
      <c r="C2458">
        <v>3.14</v>
      </c>
      <c r="D2458">
        <v>3.95</v>
      </c>
      <c r="E2458">
        <v>5.34</v>
      </c>
      <c r="F2458">
        <v>0.78</v>
      </c>
      <c r="G2458">
        <v>1.8</v>
      </c>
      <c r="H2458">
        <v>1.63</v>
      </c>
      <c r="I2458">
        <v>1.45</v>
      </c>
      <c r="J2458">
        <v>0.15</v>
      </c>
      <c r="K2458">
        <v>0.05</v>
      </c>
    </row>
    <row r="2459" spans="1:11" x14ac:dyDescent="0.35">
      <c r="A2459" s="204">
        <v>41584</v>
      </c>
      <c r="B2459" s="544">
        <v>3</v>
      </c>
      <c r="C2459">
        <v>3.14</v>
      </c>
      <c r="D2459">
        <v>3.95</v>
      </c>
      <c r="E2459">
        <v>5.34</v>
      </c>
      <c r="F2459">
        <v>0.78</v>
      </c>
      <c r="G2459">
        <v>1.8</v>
      </c>
      <c r="H2459">
        <v>1.63</v>
      </c>
      <c r="I2459">
        <v>1.45</v>
      </c>
      <c r="J2459">
        <v>0.15</v>
      </c>
      <c r="K2459">
        <v>0.05</v>
      </c>
    </row>
    <row r="2460" spans="1:11" x14ac:dyDescent="0.35">
      <c r="A2460" s="204">
        <v>41591</v>
      </c>
      <c r="B2460" s="544">
        <v>3</v>
      </c>
      <c r="C2460">
        <v>3.14</v>
      </c>
      <c r="D2460">
        <v>3.95</v>
      </c>
      <c r="E2460">
        <v>5.34</v>
      </c>
      <c r="F2460">
        <v>0.78</v>
      </c>
      <c r="G2460">
        <v>1.8</v>
      </c>
      <c r="H2460">
        <v>1.63</v>
      </c>
      <c r="I2460">
        <v>1.45</v>
      </c>
      <c r="J2460">
        <v>0.15</v>
      </c>
      <c r="K2460">
        <v>0.05</v>
      </c>
    </row>
    <row r="2461" spans="1:11" x14ac:dyDescent="0.35">
      <c r="A2461" s="204">
        <v>41598</v>
      </c>
      <c r="B2461" s="544">
        <v>3</v>
      </c>
      <c r="C2461">
        <v>3.14</v>
      </c>
      <c r="D2461">
        <v>3.95</v>
      </c>
      <c r="E2461">
        <v>5.34</v>
      </c>
      <c r="F2461">
        <v>0.78</v>
      </c>
      <c r="G2461">
        <v>1.8</v>
      </c>
      <c r="H2461">
        <v>1.63</v>
      </c>
      <c r="I2461">
        <v>1.45</v>
      </c>
      <c r="J2461">
        <v>0.15</v>
      </c>
      <c r="K2461">
        <v>0.05</v>
      </c>
    </row>
    <row r="2462" spans="1:11" x14ac:dyDescent="0.35">
      <c r="A2462" s="204">
        <v>41605</v>
      </c>
      <c r="B2462" s="544">
        <v>3</v>
      </c>
      <c r="C2462">
        <v>3.14</v>
      </c>
      <c r="D2462">
        <v>3.95</v>
      </c>
      <c r="E2462">
        <v>5.34</v>
      </c>
      <c r="F2462">
        <v>0.78</v>
      </c>
      <c r="G2462">
        <v>1.8</v>
      </c>
      <c r="H2462">
        <v>1.63</v>
      </c>
      <c r="I2462">
        <v>1.45</v>
      </c>
      <c r="J2462">
        <v>0.15</v>
      </c>
      <c r="K2462">
        <v>0.05</v>
      </c>
    </row>
    <row r="2463" spans="1:11" x14ac:dyDescent="0.35">
      <c r="A2463" s="204">
        <v>41612</v>
      </c>
      <c r="B2463" s="544">
        <v>3</v>
      </c>
      <c r="C2463">
        <v>3.14</v>
      </c>
      <c r="D2463">
        <v>3.95</v>
      </c>
      <c r="E2463">
        <v>5.34</v>
      </c>
      <c r="F2463">
        <v>0.78</v>
      </c>
      <c r="G2463">
        <v>1.8</v>
      </c>
      <c r="H2463">
        <v>1.63</v>
      </c>
      <c r="I2463">
        <v>1.45</v>
      </c>
      <c r="J2463">
        <v>0.15</v>
      </c>
      <c r="K2463">
        <v>0.05</v>
      </c>
    </row>
    <row r="2464" spans="1:11" x14ac:dyDescent="0.35">
      <c r="A2464" s="204">
        <v>41619</v>
      </c>
      <c r="B2464" s="544">
        <v>3</v>
      </c>
      <c r="C2464">
        <v>3.14</v>
      </c>
      <c r="D2464">
        <v>3.95</v>
      </c>
      <c r="E2464">
        <v>5.34</v>
      </c>
      <c r="F2464">
        <v>0.78</v>
      </c>
      <c r="G2464">
        <v>1.8</v>
      </c>
      <c r="H2464">
        <v>1.63</v>
      </c>
      <c r="I2464">
        <v>1.45</v>
      </c>
      <c r="J2464">
        <v>0.15</v>
      </c>
      <c r="K2464">
        <v>0.05</v>
      </c>
    </row>
    <row r="2465" spans="1:11" x14ac:dyDescent="0.35">
      <c r="A2465" s="204">
        <v>41626</v>
      </c>
      <c r="B2465" s="544">
        <v>3</v>
      </c>
      <c r="C2465">
        <v>3.14</v>
      </c>
      <c r="D2465">
        <v>3.95</v>
      </c>
      <c r="E2465">
        <v>5.34</v>
      </c>
      <c r="F2465">
        <v>0.78</v>
      </c>
      <c r="G2465">
        <v>1.8</v>
      </c>
      <c r="H2465">
        <v>1.63</v>
      </c>
      <c r="I2465">
        <v>1.45</v>
      </c>
      <c r="J2465">
        <v>0.15</v>
      </c>
      <c r="K2465">
        <v>0.05</v>
      </c>
    </row>
    <row r="2466" spans="1:11" x14ac:dyDescent="0.35">
      <c r="A2466" s="204">
        <v>41633</v>
      </c>
      <c r="B2466" s="544">
        <v>3</v>
      </c>
      <c r="C2466">
        <v>3.14</v>
      </c>
      <c r="D2466">
        <v>3.95</v>
      </c>
      <c r="E2466">
        <v>5.34</v>
      </c>
      <c r="F2466">
        <v>0.78</v>
      </c>
      <c r="G2466">
        <v>1.1299999999999999</v>
      </c>
      <c r="H2466">
        <v>1.63</v>
      </c>
      <c r="I2466">
        <v>1.45</v>
      </c>
      <c r="J2466">
        <v>0.15</v>
      </c>
      <c r="K2466">
        <v>0.05</v>
      </c>
    </row>
    <row r="2467" spans="1:11" x14ac:dyDescent="0.35">
      <c r="A2467" s="204">
        <v>41640</v>
      </c>
      <c r="B2467" s="544">
        <v>3</v>
      </c>
      <c r="C2467">
        <v>3.14</v>
      </c>
      <c r="D2467">
        <v>3.95</v>
      </c>
      <c r="E2467">
        <v>5.34</v>
      </c>
      <c r="F2467">
        <v>0.78</v>
      </c>
      <c r="G2467">
        <v>1.1299999999999999</v>
      </c>
      <c r="H2467">
        <v>1.63</v>
      </c>
      <c r="I2467">
        <v>1.45</v>
      </c>
      <c r="J2467">
        <v>0.15</v>
      </c>
      <c r="K2467">
        <v>0.05</v>
      </c>
    </row>
    <row r="2468" spans="1:11" x14ac:dyDescent="0.35">
      <c r="A2468" s="204">
        <v>41647</v>
      </c>
      <c r="B2468" s="544">
        <v>3</v>
      </c>
      <c r="C2468">
        <v>3.14</v>
      </c>
      <c r="D2468">
        <v>3.95</v>
      </c>
      <c r="E2468">
        <v>5.34</v>
      </c>
      <c r="F2468">
        <v>0.78</v>
      </c>
      <c r="G2468">
        <v>1.1299999999999999</v>
      </c>
      <c r="H2468">
        <v>1.63</v>
      </c>
      <c r="I2468">
        <v>1.45</v>
      </c>
      <c r="J2468">
        <v>0.15</v>
      </c>
      <c r="K2468">
        <v>0.05</v>
      </c>
    </row>
    <row r="2469" spans="1:11" x14ac:dyDescent="0.35">
      <c r="A2469" s="204">
        <v>41654</v>
      </c>
      <c r="B2469" s="544">
        <v>3</v>
      </c>
      <c r="C2469">
        <v>3.14</v>
      </c>
      <c r="D2469">
        <v>3.95</v>
      </c>
      <c r="E2469">
        <v>5.34</v>
      </c>
      <c r="F2469">
        <v>0.78</v>
      </c>
      <c r="G2469">
        <v>1.1299999999999999</v>
      </c>
      <c r="H2469">
        <v>1.63</v>
      </c>
      <c r="I2469">
        <v>1.45</v>
      </c>
      <c r="J2469">
        <v>0.15</v>
      </c>
      <c r="K2469">
        <v>0.05</v>
      </c>
    </row>
    <row r="2470" spans="1:11" x14ac:dyDescent="0.35">
      <c r="A2470" s="204">
        <v>41661</v>
      </c>
      <c r="B2470" s="544">
        <v>3</v>
      </c>
      <c r="C2470">
        <v>3.14</v>
      </c>
      <c r="D2470">
        <v>3.75</v>
      </c>
      <c r="E2470">
        <v>5.24</v>
      </c>
      <c r="F2470">
        <v>0.78</v>
      </c>
      <c r="G2470">
        <v>1.1299999999999999</v>
      </c>
      <c r="H2470">
        <v>1.63</v>
      </c>
      <c r="I2470">
        <v>1.45</v>
      </c>
      <c r="J2470">
        <v>0.15</v>
      </c>
      <c r="K2470">
        <v>0.05</v>
      </c>
    </row>
    <row r="2471" spans="1:11" x14ac:dyDescent="0.35">
      <c r="A2471" s="204">
        <v>41668</v>
      </c>
      <c r="B2471" s="544">
        <v>3</v>
      </c>
      <c r="C2471">
        <v>3.14</v>
      </c>
      <c r="D2471">
        <v>3.75</v>
      </c>
      <c r="E2471">
        <v>5.24</v>
      </c>
      <c r="F2471">
        <v>0.78</v>
      </c>
      <c r="G2471">
        <v>1.1299999999999999</v>
      </c>
      <c r="H2471">
        <v>1.63</v>
      </c>
      <c r="I2471">
        <v>1.45</v>
      </c>
      <c r="J2471">
        <v>0.15</v>
      </c>
      <c r="K2471">
        <v>0.05</v>
      </c>
    </row>
    <row r="2472" spans="1:11" x14ac:dyDescent="0.35">
      <c r="A2472" s="204">
        <v>41675</v>
      </c>
      <c r="B2472" s="544">
        <v>3</v>
      </c>
      <c r="C2472">
        <v>3.14</v>
      </c>
      <c r="D2472">
        <v>3.75</v>
      </c>
      <c r="E2472">
        <v>5.24</v>
      </c>
      <c r="F2472">
        <v>0.78</v>
      </c>
      <c r="G2472">
        <v>1.1299999999999999</v>
      </c>
      <c r="H2472">
        <v>1.63</v>
      </c>
      <c r="I2472">
        <v>1.45</v>
      </c>
      <c r="J2472">
        <v>0.15</v>
      </c>
      <c r="K2472">
        <v>0.05</v>
      </c>
    </row>
    <row r="2473" spans="1:11" x14ac:dyDescent="0.35">
      <c r="A2473" s="204">
        <v>41682</v>
      </c>
      <c r="B2473" s="544">
        <v>3</v>
      </c>
      <c r="C2473">
        <v>3.14</v>
      </c>
      <c r="D2473">
        <v>3.75</v>
      </c>
      <c r="E2473">
        <v>5.24</v>
      </c>
      <c r="F2473">
        <v>0.78</v>
      </c>
      <c r="G2473">
        <v>1.1299999999999999</v>
      </c>
      <c r="H2473">
        <v>1.63</v>
      </c>
      <c r="I2473">
        <v>1.45</v>
      </c>
      <c r="J2473">
        <v>0.15</v>
      </c>
      <c r="K2473">
        <v>0.05</v>
      </c>
    </row>
    <row r="2474" spans="1:11" x14ac:dyDescent="0.35">
      <c r="A2474" s="204">
        <v>41689</v>
      </c>
      <c r="B2474" s="544">
        <v>3</v>
      </c>
      <c r="C2474">
        <v>3.14</v>
      </c>
      <c r="D2474">
        <v>3.75</v>
      </c>
      <c r="E2474">
        <v>5.24</v>
      </c>
      <c r="F2474">
        <v>0.78</v>
      </c>
      <c r="G2474">
        <v>1.1299999999999999</v>
      </c>
      <c r="H2474">
        <v>1.63</v>
      </c>
      <c r="I2474">
        <v>1.45</v>
      </c>
      <c r="J2474">
        <v>0.15</v>
      </c>
      <c r="K2474">
        <v>0.05</v>
      </c>
    </row>
    <row r="2475" spans="1:11" x14ac:dyDescent="0.35">
      <c r="A2475" s="204">
        <v>41696</v>
      </c>
      <c r="B2475" s="544">
        <v>3</v>
      </c>
      <c r="C2475">
        <v>3.14</v>
      </c>
      <c r="D2475">
        <v>3.75</v>
      </c>
      <c r="E2475">
        <v>5.24</v>
      </c>
      <c r="F2475">
        <v>0.78</v>
      </c>
      <c r="G2475">
        <v>1.1299999999999999</v>
      </c>
      <c r="H2475">
        <v>1.63</v>
      </c>
      <c r="I2475">
        <v>1.45</v>
      </c>
      <c r="J2475">
        <v>0.15</v>
      </c>
      <c r="K2475">
        <v>0.05</v>
      </c>
    </row>
    <row r="2476" spans="1:11" x14ac:dyDescent="0.35">
      <c r="A2476" s="204">
        <v>41703</v>
      </c>
      <c r="B2476" s="544">
        <v>3</v>
      </c>
      <c r="C2476">
        <v>3.14</v>
      </c>
      <c r="D2476">
        <v>3.75</v>
      </c>
      <c r="E2476">
        <v>4.99</v>
      </c>
      <c r="F2476">
        <v>0.78</v>
      </c>
      <c r="G2476">
        <v>1.1299999999999999</v>
      </c>
      <c r="H2476">
        <v>1.63</v>
      </c>
      <c r="I2476">
        <v>1.45</v>
      </c>
      <c r="J2476">
        <v>0.15</v>
      </c>
      <c r="K2476">
        <v>0.05</v>
      </c>
    </row>
    <row r="2477" spans="1:11" x14ac:dyDescent="0.35">
      <c r="A2477" s="204">
        <v>41710</v>
      </c>
      <c r="B2477" s="544">
        <v>3</v>
      </c>
      <c r="C2477">
        <v>3.14</v>
      </c>
      <c r="D2477">
        <v>3.75</v>
      </c>
      <c r="E2477">
        <v>4.99</v>
      </c>
      <c r="F2477">
        <v>1.3</v>
      </c>
      <c r="G2477">
        <v>1.1299999999999999</v>
      </c>
      <c r="H2477">
        <v>1.63</v>
      </c>
      <c r="I2477">
        <v>1.45</v>
      </c>
      <c r="J2477">
        <v>0.15</v>
      </c>
      <c r="K2477">
        <v>0.05</v>
      </c>
    </row>
    <row r="2478" spans="1:11" x14ac:dyDescent="0.35">
      <c r="A2478" s="204">
        <v>41717</v>
      </c>
      <c r="B2478" s="544">
        <v>3</v>
      </c>
      <c r="C2478">
        <v>3.14</v>
      </c>
      <c r="D2478">
        <v>3.75</v>
      </c>
      <c r="E2478">
        <v>4.99</v>
      </c>
      <c r="F2478">
        <v>1.3</v>
      </c>
      <c r="G2478">
        <v>1.1299999999999999</v>
      </c>
      <c r="H2478">
        <v>1.63</v>
      </c>
      <c r="I2478">
        <v>1.45</v>
      </c>
      <c r="J2478">
        <v>0.15</v>
      </c>
      <c r="K2478">
        <v>0.05</v>
      </c>
    </row>
    <row r="2479" spans="1:11" x14ac:dyDescent="0.35">
      <c r="A2479" s="204">
        <v>41724</v>
      </c>
      <c r="B2479" s="544">
        <v>3</v>
      </c>
      <c r="C2479">
        <v>3.14</v>
      </c>
      <c r="D2479">
        <v>3.75</v>
      </c>
      <c r="E2479">
        <v>4.99</v>
      </c>
      <c r="F2479">
        <v>1.3</v>
      </c>
      <c r="G2479">
        <v>1.1299999999999999</v>
      </c>
      <c r="H2479">
        <v>1.63</v>
      </c>
      <c r="I2479">
        <v>1.45</v>
      </c>
      <c r="J2479">
        <v>0.15</v>
      </c>
      <c r="K2479">
        <v>0.05</v>
      </c>
    </row>
    <row r="2480" spans="1:11" x14ac:dyDescent="0.35">
      <c r="A2480" s="204">
        <v>41731</v>
      </c>
      <c r="B2480" s="544">
        <v>3</v>
      </c>
      <c r="C2480">
        <v>3.14</v>
      </c>
      <c r="D2480">
        <v>3.75</v>
      </c>
      <c r="E2480">
        <v>4.99</v>
      </c>
      <c r="F2480">
        <v>1.3</v>
      </c>
      <c r="G2480">
        <v>1.1299999999999999</v>
      </c>
      <c r="H2480">
        <v>1.63</v>
      </c>
      <c r="I2480">
        <v>1.45</v>
      </c>
      <c r="J2480">
        <v>0.15</v>
      </c>
      <c r="K2480">
        <v>0.05</v>
      </c>
    </row>
    <row r="2481" spans="1:11" x14ac:dyDescent="0.35">
      <c r="A2481" s="204">
        <v>41738</v>
      </c>
      <c r="B2481" s="544">
        <v>3</v>
      </c>
      <c r="C2481">
        <v>3.14</v>
      </c>
      <c r="D2481">
        <v>3.75</v>
      </c>
      <c r="E2481">
        <v>4.79</v>
      </c>
      <c r="F2481">
        <v>1.3</v>
      </c>
      <c r="G2481">
        <v>1.1299999999999999</v>
      </c>
      <c r="H2481">
        <v>2.2000000000000002</v>
      </c>
      <c r="I2481">
        <v>1.45</v>
      </c>
      <c r="J2481">
        <v>0.15</v>
      </c>
      <c r="K2481">
        <v>0.05</v>
      </c>
    </row>
    <row r="2482" spans="1:11" x14ac:dyDescent="0.35">
      <c r="A2482" s="204">
        <v>41745</v>
      </c>
      <c r="B2482" s="544">
        <v>3</v>
      </c>
      <c r="C2482">
        <v>3.14</v>
      </c>
      <c r="D2482">
        <v>3.75</v>
      </c>
      <c r="E2482">
        <v>4.79</v>
      </c>
      <c r="F2482">
        <v>1.3</v>
      </c>
      <c r="G2482">
        <v>1.1299999999999999</v>
      </c>
      <c r="H2482">
        <v>2.2000000000000002</v>
      </c>
      <c r="I2482">
        <v>1.45</v>
      </c>
      <c r="J2482">
        <v>0.15</v>
      </c>
      <c r="K2482">
        <v>0.05</v>
      </c>
    </row>
    <row r="2483" spans="1:11" x14ac:dyDescent="0.35">
      <c r="A2483" s="204">
        <v>41752</v>
      </c>
      <c r="B2483" s="544">
        <v>3</v>
      </c>
      <c r="C2483">
        <v>3.14</v>
      </c>
      <c r="D2483">
        <v>3.75</v>
      </c>
      <c r="E2483">
        <v>4.79</v>
      </c>
      <c r="F2483">
        <v>1.3</v>
      </c>
      <c r="G2483">
        <v>1.1299999999999999</v>
      </c>
      <c r="H2483">
        <v>2.2000000000000002</v>
      </c>
      <c r="I2483">
        <v>1.45</v>
      </c>
      <c r="J2483">
        <v>0.15</v>
      </c>
      <c r="K2483">
        <v>0.05</v>
      </c>
    </row>
    <row r="2484" spans="1:11" x14ac:dyDescent="0.35">
      <c r="A2484" s="204">
        <v>41759</v>
      </c>
      <c r="B2484" s="544">
        <v>3</v>
      </c>
      <c r="C2484">
        <v>3.14</v>
      </c>
      <c r="D2484">
        <v>3.75</v>
      </c>
      <c r="E2484">
        <v>4.79</v>
      </c>
      <c r="F2484">
        <v>1.3</v>
      </c>
      <c r="G2484">
        <v>1.1299999999999999</v>
      </c>
      <c r="H2484">
        <v>2.2000000000000002</v>
      </c>
      <c r="I2484">
        <v>1.45</v>
      </c>
      <c r="J2484">
        <v>0.15</v>
      </c>
      <c r="K2484">
        <v>0.05</v>
      </c>
    </row>
    <row r="2485" spans="1:11" x14ac:dyDescent="0.35">
      <c r="A2485" s="204">
        <v>41766</v>
      </c>
      <c r="B2485" s="544">
        <v>3</v>
      </c>
      <c r="C2485">
        <v>3.14</v>
      </c>
      <c r="D2485">
        <v>3.75</v>
      </c>
      <c r="E2485">
        <v>4.79</v>
      </c>
      <c r="F2485">
        <v>1.3</v>
      </c>
      <c r="G2485">
        <v>1.1299999999999999</v>
      </c>
      <c r="H2485">
        <v>2.2000000000000002</v>
      </c>
      <c r="I2485">
        <v>1.45</v>
      </c>
      <c r="J2485">
        <v>0.15</v>
      </c>
      <c r="K2485">
        <v>0.05</v>
      </c>
    </row>
    <row r="2486" spans="1:11" x14ac:dyDescent="0.35">
      <c r="A2486" s="204">
        <v>41773</v>
      </c>
      <c r="B2486" s="544">
        <v>3</v>
      </c>
      <c r="C2486">
        <v>3.14</v>
      </c>
      <c r="D2486">
        <v>3.75</v>
      </c>
      <c r="E2486">
        <v>4.79</v>
      </c>
      <c r="F2486">
        <v>1.3</v>
      </c>
      <c r="G2486">
        <v>1.1299999999999999</v>
      </c>
      <c r="H2486">
        <v>2.2000000000000002</v>
      </c>
      <c r="I2486">
        <v>1.45</v>
      </c>
      <c r="J2486">
        <v>0.15</v>
      </c>
      <c r="K2486">
        <v>0.05</v>
      </c>
    </row>
    <row r="2487" spans="1:11" x14ac:dyDescent="0.35">
      <c r="A2487" s="204">
        <v>41780</v>
      </c>
      <c r="B2487" s="544">
        <v>3</v>
      </c>
      <c r="C2487">
        <v>3.14</v>
      </c>
      <c r="D2487">
        <v>3.75</v>
      </c>
      <c r="E2487">
        <v>4.79</v>
      </c>
      <c r="F2487">
        <v>1.3</v>
      </c>
      <c r="G2487">
        <v>1.1299999999999999</v>
      </c>
      <c r="H2487">
        <v>2.2000000000000002</v>
      </c>
      <c r="I2487">
        <v>1.45</v>
      </c>
      <c r="J2487">
        <v>0.15</v>
      </c>
      <c r="K2487">
        <v>0.05</v>
      </c>
    </row>
    <row r="2488" spans="1:11" x14ac:dyDescent="0.35">
      <c r="A2488" s="204">
        <v>41787</v>
      </c>
      <c r="B2488" s="544">
        <v>3</v>
      </c>
      <c r="C2488">
        <v>3.14</v>
      </c>
      <c r="D2488">
        <v>3.75</v>
      </c>
      <c r="E2488">
        <v>4.79</v>
      </c>
      <c r="F2488">
        <v>0.78</v>
      </c>
      <c r="G2488">
        <v>1.1299999999999999</v>
      </c>
      <c r="H2488">
        <v>2</v>
      </c>
      <c r="I2488">
        <v>1.45</v>
      </c>
      <c r="J2488">
        <v>0.15</v>
      </c>
      <c r="K2488">
        <v>0.05</v>
      </c>
    </row>
    <row r="2489" spans="1:11" x14ac:dyDescent="0.35">
      <c r="A2489" s="204">
        <v>41794</v>
      </c>
      <c r="B2489" s="544">
        <v>3</v>
      </c>
      <c r="C2489">
        <v>3.14</v>
      </c>
      <c r="D2489">
        <v>3.75</v>
      </c>
      <c r="E2489">
        <v>4.79</v>
      </c>
      <c r="F2489">
        <v>0.78</v>
      </c>
      <c r="G2489">
        <v>1.1299999999999999</v>
      </c>
      <c r="H2489">
        <v>2</v>
      </c>
      <c r="I2489">
        <v>1.45</v>
      </c>
      <c r="J2489">
        <v>0.15</v>
      </c>
      <c r="K2489">
        <v>0.05</v>
      </c>
    </row>
    <row r="2490" spans="1:11" x14ac:dyDescent="0.35">
      <c r="A2490" s="204">
        <v>41801</v>
      </c>
      <c r="B2490" s="544">
        <v>3</v>
      </c>
      <c r="C2490">
        <v>3.14</v>
      </c>
      <c r="D2490">
        <v>3.75</v>
      </c>
      <c r="E2490">
        <v>4.79</v>
      </c>
      <c r="F2490">
        <v>0.78</v>
      </c>
      <c r="G2490">
        <v>1.1299999999999999</v>
      </c>
      <c r="H2490">
        <v>2</v>
      </c>
      <c r="I2490">
        <v>1.45</v>
      </c>
      <c r="J2490">
        <v>0.15</v>
      </c>
      <c r="K2490">
        <v>0.05</v>
      </c>
    </row>
    <row r="2491" spans="1:11" x14ac:dyDescent="0.35">
      <c r="A2491" s="204">
        <v>41808</v>
      </c>
      <c r="B2491" s="544">
        <v>3</v>
      </c>
      <c r="C2491">
        <v>3.14</v>
      </c>
      <c r="D2491">
        <v>3.75</v>
      </c>
      <c r="E2491">
        <v>4.79</v>
      </c>
      <c r="F2491">
        <v>0.78</v>
      </c>
      <c r="G2491">
        <v>1.1299999999999999</v>
      </c>
      <c r="H2491">
        <v>2</v>
      </c>
      <c r="I2491">
        <v>1.45</v>
      </c>
      <c r="J2491">
        <v>0.15</v>
      </c>
      <c r="K2491">
        <v>0.05</v>
      </c>
    </row>
    <row r="2492" spans="1:11" x14ac:dyDescent="0.35">
      <c r="A2492" s="204">
        <v>41815</v>
      </c>
      <c r="B2492" s="544">
        <v>3</v>
      </c>
      <c r="C2492">
        <v>3.14</v>
      </c>
      <c r="D2492">
        <v>3.75</v>
      </c>
      <c r="E2492">
        <v>4.79</v>
      </c>
      <c r="F2492">
        <v>0.78</v>
      </c>
      <c r="G2492">
        <v>1.1299999999999999</v>
      </c>
      <c r="H2492">
        <v>2</v>
      </c>
      <c r="I2492">
        <v>1.45</v>
      </c>
      <c r="J2492">
        <v>0.15</v>
      </c>
      <c r="K2492">
        <v>0.05</v>
      </c>
    </row>
    <row r="2493" spans="1:11" x14ac:dyDescent="0.35">
      <c r="A2493" s="204">
        <v>41822</v>
      </c>
      <c r="B2493" s="544">
        <v>3</v>
      </c>
      <c r="C2493">
        <v>3.14</v>
      </c>
      <c r="D2493">
        <v>3.75</v>
      </c>
      <c r="E2493">
        <v>4.79</v>
      </c>
      <c r="F2493">
        <v>0.78</v>
      </c>
      <c r="G2493">
        <v>1.1299999999999999</v>
      </c>
      <c r="H2493">
        <v>2</v>
      </c>
      <c r="I2493">
        <v>1.45</v>
      </c>
      <c r="J2493">
        <v>0.15</v>
      </c>
      <c r="K2493">
        <v>0.05</v>
      </c>
    </row>
    <row r="2494" spans="1:11" x14ac:dyDescent="0.35">
      <c r="A2494" s="204">
        <v>41829</v>
      </c>
      <c r="B2494" s="544">
        <v>3</v>
      </c>
      <c r="C2494">
        <v>3.14</v>
      </c>
      <c r="D2494">
        <v>3.75</v>
      </c>
      <c r="E2494">
        <v>4.79</v>
      </c>
      <c r="F2494">
        <v>0.78</v>
      </c>
      <c r="G2494">
        <v>1.1299999999999999</v>
      </c>
      <c r="H2494">
        <v>2</v>
      </c>
      <c r="I2494">
        <v>1.45</v>
      </c>
      <c r="J2494">
        <v>0.15</v>
      </c>
      <c r="K2494">
        <v>0.05</v>
      </c>
    </row>
    <row r="2495" spans="1:11" x14ac:dyDescent="0.35">
      <c r="A2495" s="204">
        <v>41836</v>
      </c>
      <c r="B2495" s="544">
        <v>3</v>
      </c>
      <c r="C2495">
        <v>3.14</v>
      </c>
      <c r="D2495">
        <v>3.75</v>
      </c>
      <c r="E2495">
        <v>4.79</v>
      </c>
      <c r="F2495">
        <v>0.78</v>
      </c>
      <c r="G2495">
        <v>1.1299999999999999</v>
      </c>
      <c r="H2495">
        <v>2</v>
      </c>
      <c r="I2495">
        <v>1.45</v>
      </c>
      <c r="J2495">
        <v>0.15</v>
      </c>
      <c r="K2495">
        <v>0.05</v>
      </c>
    </row>
    <row r="2496" spans="1:11" x14ac:dyDescent="0.35">
      <c r="A2496" s="204">
        <v>41843</v>
      </c>
      <c r="B2496" s="544">
        <v>3</v>
      </c>
      <c r="C2496">
        <v>3.14</v>
      </c>
      <c r="D2496">
        <v>3.75</v>
      </c>
      <c r="E2496">
        <v>4.79</v>
      </c>
      <c r="F2496">
        <v>0.78</v>
      </c>
      <c r="G2496">
        <v>1.1299999999999999</v>
      </c>
      <c r="H2496">
        <v>2</v>
      </c>
      <c r="I2496">
        <v>1.45</v>
      </c>
      <c r="J2496">
        <v>0.15</v>
      </c>
      <c r="K2496">
        <v>0.05</v>
      </c>
    </row>
    <row r="2497" spans="1:11" x14ac:dyDescent="0.35">
      <c r="A2497" s="204">
        <v>41850</v>
      </c>
      <c r="B2497" s="544">
        <v>3</v>
      </c>
      <c r="C2497">
        <v>3.14</v>
      </c>
      <c r="D2497">
        <v>3.75</v>
      </c>
      <c r="E2497">
        <v>4.79</v>
      </c>
      <c r="F2497">
        <v>1.3</v>
      </c>
      <c r="G2497">
        <v>1.1299999999999999</v>
      </c>
      <c r="H2497">
        <v>2</v>
      </c>
      <c r="I2497">
        <v>1.45</v>
      </c>
      <c r="J2497">
        <v>0.15</v>
      </c>
      <c r="K2497">
        <v>0.05</v>
      </c>
    </row>
    <row r="2498" spans="1:11" x14ac:dyDescent="0.35">
      <c r="A2498" s="204">
        <v>41857</v>
      </c>
      <c r="B2498" s="544">
        <v>3</v>
      </c>
      <c r="C2498">
        <v>3.14</v>
      </c>
      <c r="D2498">
        <v>3.75</v>
      </c>
      <c r="E2498">
        <v>4.79</v>
      </c>
      <c r="F2498">
        <v>1.3</v>
      </c>
      <c r="G2498">
        <v>1.1299999999999999</v>
      </c>
      <c r="H2498">
        <v>2</v>
      </c>
      <c r="I2498">
        <v>1.45</v>
      </c>
      <c r="J2498">
        <v>0.15</v>
      </c>
      <c r="K2498">
        <v>0.05</v>
      </c>
    </row>
    <row r="2499" spans="1:11" x14ac:dyDescent="0.35">
      <c r="A2499" s="204">
        <v>41864</v>
      </c>
      <c r="B2499" s="544">
        <v>3</v>
      </c>
      <c r="C2499">
        <v>3.14</v>
      </c>
      <c r="D2499">
        <v>3.75</v>
      </c>
      <c r="E2499">
        <v>4.79</v>
      </c>
      <c r="F2499">
        <v>1.3</v>
      </c>
      <c r="G2499">
        <v>1.1299999999999999</v>
      </c>
      <c r="H2499">
        <v>2</v>
      </c>
      <c r="I2499">
        <v>1.45</v>
      </c>
      <c r="J2499">
        <v>0.15</v>
      </c>
      <c r="K2499">
        <v>0.05</v>
      </c>
    </row>
    <row r="2500" spans="1:11" x14ac:dyDescent="0.35">
      <c r="A2500" s="204">
        <v>41871</v>
      </c>
      <c r="B2500" s="544">
        <v>3</v>
      </c>
      <c r="C2500">
        <v>3.14</v>
      </c>
      <c r="D2500">
        <v>3.75</v>
      </c>
      <c r="E2500">
        <v>4.79</v>
      </c>
      <c r="F2500">
        <v>1.3</v>
      </c>
      <c r="G2500">
        <v>1.1299999999999999</v>
      </c>
      <c r="H2500">
        <v>2</v>
      </c>
      <c r="I2500">
        <v>1.45</v>
      </c>
      <c r="J2500">
        <v>0.15</v>
      </c>
      <c r="K2500">
        <v>0.05</v>
      </c>
    </row>
    <row r="2501" spans="1:11" x14ac:dyDescent="0.35">
      <c r="A2501" s="204">
        <v>41878</v>
      </c>
      <c r="B2501" s="544">
        <v>3</v>
      </c>
      <c r="C2501">
        <v>3.14</v>
      </c>
      <c r="D2501">
        <v>3.75</v>
      </c>
      <c r="E2501">
        <v>4.79</v>
      </c>
      <c r="F2501">
        <v>1.3</v>
      </c>
      <c r="G2501">
        <v>1.1299999999999999</v>
      </c>
      <c r="H2501">
        <v>2</v>
      </c>
      <c r="I2501">
        <v>1.45</v>
      </c>
      <c r="J2501">
        <v>0.15</v>
      </c>
      <c r="K2501">
        <v>0.05</v>
      </c>
    </row>
    <row r="2502" spans="1:11" x14ac:dyDescent="0.35">
      <c r="A2502" s="204">
        <v>41885</v>
      </c>
      <c r="B2502" s="544">
        <v>3</v>
      </c>
      <c r="C2502">
        <v>3.14</v>
      </c>
      <c r="D2502">
        <v>3.75</v>
      </c>
      <c r="E2502">
        <v>4.79</v>
      </c>
      <c r="F2502">
        <v>1.3</v>
      </c>
      <c r="G2502">
        <v>1.1299999999999999</v>
      </c>
      <c r="H2502">
        <v>2</v>
      </c>
      <c r="I2502">
        <v>1.45</v>
      </c>
      <c r="J2502">
        <v>0.15</v>
      </c>
      <c r="K2502">
        <v>0.05</v>
      </c>
    </row>
    <row r="2503" spans="1:11" x14ac:dyDescent="0.35">
      <c r="A2503" s="204">
        <v>41892</v>
      </c>
      <c r="B2503" s="544">
        <v>3</v>
      </c>
      <c r="C2503">
        <v>3.14</v>
      </c>
      <c r="D2503">
        <v>3.75</v>
      </c>
      <c r="E2503">
        <v>4.79</v>
      </c>
      <c r="F2503">
        <v>1.3</v>
      </c>
      <c r="G2503">
        <v>1.1299999999999999</v>
      </c>
      <c r="H2503">
        <v>2</v>
      </c>
      <c r="I2503">
        <v>1.45</v>
      </c>
      <c r="J2503">
        <v>0.15</v>
      </c>
      <c r="K2503">
        <v>0.05</v>
      </c>
    </row>
    <row r="2504" spans="1:11" x14ac:dyDescent="0.35">
      <c r="A2504" s="204">
        <v>41899</v>
      </c>
      <c r="B2504" s="544">
        <v>3</v>
      </c>
      <c r="C2504">
        <v>3.14</v>
      </c>
      <c r="D2504">
        <v>3.75</v>
      </c>
      <c r="E2504">
        <v>4.79</v>
      </c>
      <c r="F2504">
        <v>1.3</v>
      </c>
      <c r="G2504">
        <v>1.1299999999999999</v>
      </c>
      <c r="H2504">
        <v>2</v>
      </c>
      <c r="I2504">
        <v>1.45</v>
      </c>
      <c r="J2504">
        <v>0.15</v>
      </c>
      <c r="K2504">
        <v>0.05</v>
      </c>
    </row>
    <row r="2505" spans="1:11" x14ac:dyDescent="0.35">
      <c r="A2505" s="204">
        <v>41906</v>
      </c>
      <c r="B2505" s="544">
        <v>3</v>
      </c>
      <c r="C2505">
        <v>3.14</v>
      </c>
      <c r="D2505">
        <v>3.75</v>
      </c>
      <c r="E2505">
        <v>4.79</v>
      </c>
      <c r="F2505">
        <v>1.3</v>
      </c>
      <c r="G2505">
        <v>1.1299999999999999</v>
      </c>
      <c r="H2505">
        <v>2</v>
      </c>
      <c r="I2505">
        <v>1.45</v>
      </c>
      <c r="J2505">
        <v>0.15</v>
      </c>
      <c r="K2505">
        <v>0.05</v>
      </c>
    </row>
    <row r="2506" spans="1:11" x14ac:dyDescent="0.35">
      <c r="A2506" s="204">
        <v>41913</v>
      </c>
      <c r="B2506" s="544">
        <v>3</v>
      </c>
      <c r="C2506">
        <v>3.14</v>
      </c>
      <c r="D2506">
        <v>3.75</v>
      </c>
      <c r="E2506">
        <v>4.79</v>
      </c>
      <c r="F2506">
        <v>1.3</v>
      </c>
      <c r="G2506">
        <v>1.1299999999999999</v>
      </c>
      <c r="H2506">
        <v>2</v>
      </c>
      <c r="I2506">
        <v>1.45</v>
      </c>
      <c r="J2506">
        <v>0.15</v>
      </c>
      <c r="K2506">
        <v>0.05</v>
      </c>
    </row>
    <row r="2507" spans="1:11" x14ac:dyDescent="0.35">
      <c r="A2507" s="204">
        <v>41920</v>
      </c>
      <c r="B2507" s="544">
        <v>3</v>
      </c>
      <c r="C2507">
        <v>3.14</v>
      </c>
      <c r="D2507">
        <v>3.44</v>
      </c>
      <c r="E2507">
        <v>4.79</v>
      </c>
      <c r="F2507">
        <v>1.3</v>
      </c>
      <c r="G2507">
        <v>1.1299999999999999</v>
      </c>
      <c r="H2507">
        <v>2</v>
      </c>
      <c r="I2507">
        <v>1.45</v>
      </c>
      <c r="J2507">
        <v>0.15</v>
      </c>
      <c r="K2507">
        <v>0.05</v>
      </c>
    </row>
    <row r="2508" spans="1:11" x14ac:dyDescent="0.35">
      <c r="A2508" s="204">
        <v>41927</v>
      </c>
      <c r="B2508" s="544">
        <v>3</v>
      </c>
      <c r="C2508">
        <v>3.14</v>
      </c>
      <c r="D2508">
        <v>3.44</v>
      </c>
      <c r="E2508">
        <v>4.79</v>
      </c>
      <c r="F2508">
        <v>1.3</v>
      </c>
      <c r="G2508">
        <v>1.1299999999999999</v>
      </c>
      <c r="H2508">
        <v>2</v>
      </c>
      <c r="I2508">
        <v>1.45</v>
      </c>
      <c r="J2508">
        <v>0.15</v>
      </c>
      <c r="K2508">
        <v>0.05</v>
      </c>
    </row>
    <row r="2509" spans="1:11" x14ac:dyDescent="0.35">
      <c r="A2509" s="204">
        <v>41934</v>
      </c>
      <c r="B2509" s="544">
        <v>3</v>
      </c>
      <c r="C2509">
        <v>3.14</v>
      </c>
      <c r="D2509">
        <v>3.44</v>
      </c>
      <c r="E2509">
        <v>4.79</v>
      </c>
      <c r="F2509">
        <v>1.3</v>
      </c>
      <c r="G2509">
        <v>1.1299999999999999</v>
      </c>
      <c r="H2509">
        <v>2</v>
      </c>
      <c r="I2509">
        <v>1.45</v>
      </c>
      <c r="J2509">
        <v>0.15</v>
      </c>
      <c r="K2509">
        <v>0.05</v>
      </c>
    </row>
    <row r="2510" spans="1:11" x14ac:dyDescent="0.35">
      <c r="A2510" s="204">
        <v>41941</v>
      </c>
      <c r="B2510" s="544">
        <v>3</v>
      </c>
      <c r="C2510">
        <v>3.14</v>
      </c>
      <c r="D2510">
        <v>3.44</v>
      </c>
      <c r="E2510">
        <v>4.79</v>
      </c>
      <c r="F2510">
        <v>1.3</v>
      </c>
      <c r="G2510">
        <v>1.1299999999999999</v>
      </c>
      <c r="H2510">
        <v>2</v>
      </c>
      <c r="I2510">
        <v>1.45</v>
      </c>
      <c r="J2510">
        <v>0.15</v>
      </c>
      <c r="K2510">
        <v>0.05</v>
      </c>
    </row>
    <row r="2511" spans="1:11" x14ac:dyDescent="0.35">
      <c r="A2511" s="204">
        <v>41948</v>
      </c>
      <c r="B2511" s="544">
        <v>3</v>
      </c>
      <c r="C2511">
        <v>3.14</v>
      </c>
      <c r="D2511">
        <v>3.44</v>
      </c>
      <c r="E2511">
        <v>4.79</v>
      </c>
      <c r="F2511">
        <v>1.3</v>
      </c>
      <c r="G2511">
        <v>1.1299999999999999</v>
      </c>
      <c r="H2511">
        <v>2</v>
      </c>
      <c r="I2511">
        <v>1.45</v>
      </c>
      <c r="J2511">
        <v>0.15</v>
      </c>
      <c r="K2511">
        <v>0.05</v>
      </c>
    </row>
    <row r="2512" spans="1:11" x14ac:dyDescent="0.35">
      <c r="A2512" s="204">
        <v>41955</v>
      </c>
      <c r="B2512" s="544">
        <v>3</v>
      </c>
      <c r="C2512">
        <v>3.14</v>
      </c>
      <c r="D2512">
        <v>3.44</v>
      </c>
      <c r="E2512">
        <v>4.79</v>
      </c>
      <c r="F2512">
        <v>1.3</v>
      </c>
      <c r="G2512">
        <v>1.1299999999999999</v>
      </c>
      <c r="H2512">
        <v>2</v>
      </c>
      <c r="I2512">
        <v>1.45</v>
      </c>
      <c r="J2512">
        <v>0.15</v>
      </c>
      <c r="K2512">
        <v>0.05</v>
      </c>
    </row>
    <row r="2513" spans="1:11" x14ac:dyDescent="0.35">
      <c r="A2513" s="204">
        <v>41962</v>
      </c>
      <c r="B2513" s="544">
        <v>3</v>
      </c>
      <c r="C2513">
        <v>3.14</v>
      </c>
      <c r="D2513">
        <v>3.44</v>
      </c>
      <c r="E2513">
        <v>4.79</v>
      </c>
      <c r="F2513">
        <v>1.3</v>
      </c>
      <c r="G2513">
        <v>1.1299999999999999</v>
      </c>
      <c r="H2513">
        <v>2</v>
      </c>
      <c r="I2513">
        <v>1.45</v>
      </c>
      <c r="J2513">
        <v>0.15</v>
      </c>
      <c r="K2513">
        <v>0.05</v>
      </c>
    </row>
    <row r="2514" spans="1:11" x14ac:dyDescent="0.35">
      <c r="A2514" s="204">
        <v>41969</v>
      </c>
      <c r="B2514" s="544">
        <v>3</v>
      </c>
      <c r="C2514">
        <v>3.14</v>
      </c>
      <c r="D2514">
        <v>3.44</v>
      </c>
      <c r="E2514">
        <v>4.79</v>
      </c>
      <c r="F2514">
        <v>1.3</v>
      </c>
      <c r="G2514">
        <v>1.1299999999999999</v>
      </c>
      <c r="H2514">
        <v>2</v>
      </c>
      <c r="I2514">
        <v>1.45</v>
      </c>
      <c r="J2514">
        <v>0.15</v>
      </c>
      <c r="K2514">
        <v>0.05</v>
      </c>
    </row>
    <row r="2515" spans="1:11" x14ac:dyDescent="0.35">
      <c r="A2515" s="204">
        <v>41976</v>
      </c>
      <c r="B2515" s="544">
        <v>3</v>
      </c>
      <c r="C2515">
        <v>3.14</v>
      </c>
      <c r="D2515">
        <v>3.44</v>
      </c>
      <c r="E2515">
        <v>4.79</v>
      </c>
      <c r="F2515">
        <v>1.3</v>
      </c>
      <c r="G2515">
        <v>1.1299999999999999</v>
      </c>
      <c r="H2515">
        <v>2</v>
      </c>
      <c r="I2515">
        <v>1.45</v>
      </c>
      <c r="J2515">
        <v>0.15</v>
      </c>
      <c r="K2515">
        <v>0.05</v>
      </c>
    </row>
    <row r="2516" spans="1:11" x14ac:dyDescent="0.35">
      <c r="A2516" s="204">
        <v>41983</v>
      </c>
      <c r="B2516" s="544">
        <v>3</v>
      </c>
      <c r="C2516">
        <v>3.14</v>
      </c>
      <c r="D2516">
        <v>3.44</v>
      </c>
      <c r="E2516">
        <v>4.79</v>
      </c>
      <c r="F2516">
        <v>1.3</v>
      </c>
      <c r="G2516">
        <v>1.1299999999999999</v>
      </c>
      <c r="H2516">
        <v>2</v>
      </c>
      <c r="I2516">
        <v>1.45</v>
      </c>
      <c r="J2516">
        <v>0.15</v>
      </c>
      <c r="K2516">
        <v>0.01</v>
      </c>
    </row>
    <row r="2517" spans="1:11" x14ac:dyDescent="0.35">
      <c r="A2517" s="204">
        <v>41990</v>
      </c>
      <c r="B2517" s="544">
        <v>3</v>
      </c>
      <c r="C2517">
        <v>3.14</v>
      </c>
      <c r="D2517">
        <v>3.44</v>
      </c>
      <c r="E2517">
        <v>4.79</v>
      </c>
      <c r="F2517">
        <v>1.3</v>
      </c>
      <c r="G2517">
        <v>1.1299999999999999</v>
      </c>
      <c r="H2517">
        <v>2</v>
      </c>
      <c r="I2517">
        <v>1.45</v>
      </c>
      <c r="J2517">
        <v>0.15</v>
      </c>
      <c r="K2517">
        <v>0.01</v>
      </c>
    </row>
    <row r="2518" spans="1:11" x14ac:dyDescent="0.35">
      <c r="A2518" s="204">
        <v>41997</v>
      </c>
      <c r="B2518" s="544">
        <v>3</v>
      </c>
      <c r="C2518">
        <v>3.14</v>
      </c>
      <c r="D2518">
        <v>3.44</v>
      </c>
      <c r="E2518">
        <v>4.79</v>
      </c>
      <c r="F2518">
        <v>1.3</v>
      </c>
      <c r="G2518">
        <v>1.1299999999999999</v>
      </c>
      <c r="H2518">
        <v>2</v>
      </c>
      <c r="I2518">
        <v>1.45</v>
      </c>
      <c r="J2518">
        <v>0.15</v>
      </c>
      <c r="K2518">
        <v>0.01</v>
      </c>
    </row>
    <row r="2519" spans="1:11" x14ac:dyDescent="0.35">
      <c r="A2519" s="204">
        <v>42004</v>
      </c>
      <c r="B2519" s="544">
        <v>3</v>
      </c>
      <c r="C2519">
        <v>3.14</v>
      </c>
      <c r="D2519">
        <v>3.44</v>
      </c>
      <c r="E2519">
        <v>4.79</v>
      </c>
      <c r="F2519">
        <v>1.3</v>
      </c>
      <c r="G2519">
        <v>1.1299999999999999</v>
      </c>
      <c r="H2519">
        <v>2</v>
      </c>
      <c r="I2519">
        <v>1.45</v>
      </c>
      <c r="J2519">
        <v>0.15</v>
      </c>
      <c r="K2519">
        <v>0.01</v>
      </c>
    </row>
    <row r="2520" spans="1:11" x14ac:dyDescent="0.35">
      <c r="A2520" s="204">
        <v>42011</v>
      </c>
      <c r="B2520" s="544">
        <v>3</v>
      </c>
      <c r="C2520">
        <v>3.14</v>
      </c>
      <c r="D2520">
        <v>3.44</v>
      </c>
      <c r="E2520">
        <v>4.79</v>
      </c>
      <c r="F2520">
        <v>1.3</v>
      </c>
      <c r="G2520">
        <v>1.1299999999999999</v>
      </c>
      <c r="H2520">
        <v>2</v>
      </c>
      <c r="I2520">
        <v>1.45</v>
      </c>
      <c r="J2520">
        <v>0.15</v>
      </c>
      <c r="K2520">
        <v>0.01</v>
      </c>
    </row>
    <row r="2521" spans="1:11" x14ac:dyDescent="0.35">
      <c r="A2521" s="204">
        <v>42018</v>
      </c>
      <c r="B2521" s="544">
        <v>3</v>
      </c>
      <c r="C2521">
        <v>3.14</v>
      </c>
      <c r="D2521">
        <v>3.44</v>
      </c>
      <c r="E2521">
        <v>4.79</v>
      </c>
      <c r="F2521">
        <v>1.3</v>
      </c>
      <c r="G2521">
        <v>1.1299999999999999</v>
      </c>
      <c r="H2521">
        <v>2</v>
      </c>
      <c r="I2521">
        <v>1.45</v>
      </c>
      <c r="J2521">
        <v>0.15</v>
      </c>
      <c r="K2521">
        <v>0.01</v>
      </c>
    </row>
    <row r="2522" spans="1:11" x14ac:dyDescent="0.35">
      <c r="A2522" s="204">
        <v>42025</v>
      </c>
      <c r="B2522" s="544">
        <v>3</v>
      </c>
      <c r="C2522">
        <v>3.14</v>
      </c>
      <c r="D2522">
        <v>3.44</v>
      </c>
      <c r="E2522">
        <v>4.79</v>
      </c>
      <c r="F2522">
        <v>1.3</v>
      </c>
      <c r="G2522">
        <v>1.1299999999999999</v>
      </c>
      <c r="H2522">
        <v>1.63</v>
      </c>
      <c r="I2522">
        <v>1.45</v>
      </c>
      <c r="J2522">
        <v>0.15</v>
      </c>
      <c r="K2522">
        <v>0.01</v>
      </c>
    </row>
    <row r="2523" spans="1:11" x14ac:dyDescent="0.35">
      <c r="A2523" s="204">
        <v>42032</v>
      </c>
      <c r="B2523" s="544">
        <v>2.85</v>
      </c>
      <c r="C2523">
        <v>3.14</v>
      </c>
      <c r="D2523">
        <v>3.44</v>
      </c>
      <c r="E2523">
        <v>4.79</v>
      </c>
      <c r="F2523">
        <v>1</v>
      </c>
      <c r="G2523">
        <v>1.1299999999999999</v>
      </c>
      <c r="H2523">
        <v>1.48</v>
      </c>
      <c r="I2523">
        <v>1.28</v>
      </c>
      <c r="J2523">
        <v>0.15</v>
      </c>
      <c r="K2523">
        <v>0.01</v>
      </c>
    </row>
    <row r="2524" spans="1:11" x14ac:dyDescent="0.35">
      <c r="A2524" s="204">
        <v>42039</v>
      </c>
      <c r="B2524" s="544">
        <v>2.85</v>
      </c>
      <c r="C2524">
        <v>3.14</v>
      </c>
      <c r="D2524">
        <v>3.8</v>
      </c>
      <c r="E2524">
        <v>4.79</v>
      </c>
      <c r="F2524">
        <v>1</v>
      </c>
      <c r="G2524">
        <v>1.1000000000000001</v>
      </c>
      <c r="H2524">
        <v>1.38</v>
      </c>
      <c r="I2524">
        <v>1.25</v>
      </c>
      <c r="J2524">
        <v>0.15</v>
      </c>
      <c r="K2524">
        <v>0.01</v>
      </c>
    </row>
    <row r="2525" spans="1:11" x14ac:dyDescent="0.35">
      <c r="A2525" s="204">
        <v>42046</v>
      </c>
      <c r="B2525" s="544">
        <v>2.85</v>
      </c>
      <c r="C2525">
        <v>3.14</v>
      </c>
      <c r="D2525">
        <v>3.8</v>
      </c>
      <c r="E2525">
        <v>4.79</v>
      </c>
      <c r="F2525">
        <v>1</v>
      </c>
      <c r="G2525">
        <v>1.1000000000000001</v>
      </c>
      <c r="H2525">
        <v>1.38</v>
      </c>
      <c r="I2525">
        <v>1.25</v>
      </c>
      <c r="J2525">
        <v>0.15</v>
      </c>
      <c r="K2525">
        <v>0.01</v>
      </c>
    </row>
    <row r="2526" spans="1:11" x14ac:dyDescent="0.35">
      <c r="A2526" s="204">
        <v>42053</v>
      </c>
      <c r="B2526" s="544">
        <v>2.85</v>
      </c>
      <c r="C2526">
        <v>3.14</v>
      </c>
      <c r="D2526">
        <v>3.8</v>
      </c>
      <c r="E2526">
        <v>4.79</v>
      </c>
      <c r="F2526">
        <v>0.78</v>
      </c>
      <c r="G2526">
        <v>1.1000000000000001</v>
      </c>
      <c r="H2526">
        <v>1.38</v>
      </c>
      <c r="I2526">
        <v>1.25</v>
      </c>
      <c r="J2526">
        <v>0.15</v>
      </c>
      <c r="K2526">
        <v>0.01</v>
      </c>
    </row>
    <row r="2527" spans="1:11" x14ac:dyDescent="0.35">
      <c r="A2527" s="204">
        <v>42060</v>
      </c>
      <c r="B2527" s="544">
        <v>2.85</v>
      </c>
      <c r="C2527">
        <v>2.89</v>
      </c>
      <c r="D2527">
        <v>3.39</v>
      </c>
      <c r="E2527">
        <v>4.74</v>
      </c>
      <c r="F2527">
        <v>0.78</v>
      </c>
      <c r="G2527">
        <v>1.1000000000000001</v>
      </c>
      <c r="H2527">
        <v>1.38</v>
      </c>
      <c r="I2527">
        <v>1.25</v>
      </c>
      <c r="J2527">
        <v>0.15</v>
      </c>
      <c r="K2527">
        <v>0.01</v>
      </c>
    </row>
    <row r="2528" spans="1:11" x14ac:dyDescent="0.35">
      <c r="A2528" s="204">
        <v>42067</v>
      </c>
      <c r="B2528" s="544">
        <v>2.85</v>
      </c>
      <c r="C2528">
        <v>2.89</v>
      </c>
      <c r="D2528">
        <v>3.39</v>
      </c>
      <c r="E2528">
        <v>4.74</v>
      </c>
      <c r="F2528">
        <v>0.78</v>
      </c>
      <c r="G2528">
        <v>1.1000000000000001</v>
      </c>
      <c r="H2528">
        <v>1.38</v>
      </c>
      <c r="I2528">
        <v>1.25</v>
      </c>
      <c r="J2528">
        <v>0.15</v>
      </c>
      <c r="K2528">
        <v>0.01</v>
      </c>
    </row>
    <row r="2529" spans="1:11" x14ac:dyDescent="0.35">
      <c r="A2529" s="204">
        <v>42074</v>
      </c>
      <c r="B2529" s="544">
        <v>2.85</v>
      </c>
      <c r="C2529">
        <v>2.89</v>
      </c>
      <c r="D2529">
        <v>3.39</v>
      </c>
      <c r="E2529">
        <v>4.74</v>
      </c>
      <c r="F2529">
        <v>0.78</v>
      </c>
      <c r="G2529">
        <v>1.05</v>
      </c>
      <c r="H2529">
        <v>1.38</v>
      </c>
      <c r="I2529">
        <v>1.25</v>
      </c>
      <c r="J2529">
        <v>0.15</v>
      </c>
      <c r="K2529">
        <v>0.01</v>
      </c>
    </row>
    <row r="2530" spans="1:11" x14ac:dyDescent="0.35">
      <c r="A2530" s="204">
        <v>42081</v>
      </c>
      <c r="B2530" s="544">
        <v>2.85</v>
      </c>
      <c r="C2530">
        <v>2.89</v>
      </c>
      <c r="D2530">
        <v>3.39</v>
      </c>
      <c r="E2530">
        <v>4.74</v>
      </c>
      <c r="F2530">
        <v>0.78</v>
      </c>
      <c r="G2530">
        <v>1.05</v>
      </c>
      <c r="H2530">
        <v>1.38</v>
      </c>
      <c r="I2530">
        <v>1.25</v>
      </c>
      <c r="J2530">
        <v>0.15</v>
      </c>
      <c r="K2530">
        <v>0.01</v>
      </c>
    </row>
    <row r="2531" spans="1:11" x14ac:dyDescent="0.35">
      <c r="A2531" s="204">
        <v>42088</v>
      </c>
      <c r="B2531" s="544">
        <v>2.85</v>
      </c>
      <c r="C2531">
        <v>2.89</v>
      </c>
      <c r="D2531">
        <v>3.39</v>
      </c>
      <c r="E2531">
        <v>4.74</v>
      </c>
      <c r="F2531">
        <v>0.78</v>
      </c>
      <c r="G2531">
        <v>1.05</v>
      </c>
      <c r="H2531">
        <v>1.38</v>
      </c>
      <c r="I2531">
        <v>1.25</v>
      </c>
      <c r="J2531">
        <v>0.15</v>
      </c>
      <c r="K2531">
        <v>0.01</v>
      </c>
    </row>
    <row r="2532" spans="1:11" x14ac:dyDescent="0.35">
      <c r="A2532" s="204">
        <v>42095</v>
      </c>
      <c r="B2532" s="544">
        <v>2.85</v>
      </c>
      <c r="C2532">
        <v>2.89</v>
      </c>
      <c r="D2532">
        <v>3.39</v>
      </c>
      <c r="E2532">
        <v>4.74</v>
      </c>
      <c r="F2532">
        <v>0.78</v>
      </c>
      <c r="G2532">
        <v>1.03</v>
      </c>
      <c r="H2532">
        <v>1.38</v>
      </c>
      <c r="I2532">
        <v>1.25</v>
      </c>
      <c r="J2532">
        <v>0.15</v>
      </c>
      <c r="K2532">
        <v>0.01</v>
      </c>
    </row>
    <row r="2533" spans="1:11" x14ac:dyDescent="0.35">
      <c r="A2533" s="204">
        <v>42102</v>
      </c>
      <c r="B2533" s="544">
        <v>2.85</v>
      </c>
      <c r="C2533">
        <v>2.89</v>
      </c>
      <c r="D2533">
        <v>3.39</v>
      </c>
      <c r="E2533">
        <v>4.6399999999999997</v>
      </c>
      <c r="F2533">
        <v>0.78</v>
      </c>
      <c r="G2533">
        <v>1.03</v>
      </c>
      <c r="H2533">
        <v>1.38</v>
      </c>
      <c r="I2533">
        <v>1.25</v>
      </c>
      <c r="J2533">
        <v>0.15</v>
      </c>
      <c r="K2533">
        <v>0.01</v>
      </c>
    </row>
    <row r="2534" spans="1:11" x14ac:dyDescent="0.35">
      <c r="A2534" s="204">
        <v>42109</v>
      </c>
      <c r="B2534" s="544">
        <v>2.85</v>
      </c>
      <c r="C2534">
        <v>2.89</v>
      </c>
      <c r="D2534">
        <v>3.39</v>
      </c>
      <c r="E2534">
        <v>4.6399999999999997</v>
      </c>
      <c r="F2534">
        <v>0.78</v>
      </c>
      <c r="G2534">
        <v>1.03</v>
      </c>
      <c r="H2534">
        <v>1.38</v>
      </c>
      <c r="I2534">
        <v>1.25</v>
      </c>
      <c r="J2534">
        <v>0.15</v>
      </c>
      <c r="K2534">
        <v>0.01</v>
      </c>
    </row>
    <row r="2535" spans="1:11" x14ac:dyDescent="0.35">
      <c r="A2535" s="204">
        <v>42116</v>
      </c>
      <c r="B2535" s="544">
        <v>2.85</v>
      </c>
      <c r="C2535">
        <v>2.89</v>
      </c>
      <c r="D2535">
        <v>3.39</v>
      </c>
      <c r="E2535">
        <v>4.6399999999999997</v>
      </c>
      <c r="F2535">
        <v>0.78</v>
      </c>
      <c r="G2535">
        <v>1.03</v>
      </c>
      <c r="H2535">
        <v>1.38</v>
      </c>
      <c r="I2535">
        <v>1.25</v>
      </c>
      <c r="J2535">
        <v>0.15</v>
      </c>
      <c r="K2535">
        <v>0.01</v>
      </c>
    </row>
    <row r="2536" spans="1:11" x14ac:dyDescent="0.35">
      <c r="A2536" s="204">
        <v>42123</v>
      </c>
      <c r="B2536" s="544">
        <v>2.85</v>
      </c>
      <c r="C2536">
        <v>2.89</v>
      </c>
      <c r="D2536">
        <v>3.39</v>
      </c>
      <c r="E2536">
        <v>4.6399999999999997</v>
      </c>
      <c r="F2536">
        <v>0.78</v>
      </c>
      <c r="G2536">
        <v>1.03</v>
      </c>
      <c r="H2536">
        <v>1.38</v>
      </c>
      <c r="I2536">
        <v>1.25</v>
      </c>
      <c r="J2536">
        <v>0.15</v>
      </c>
      <c r="K2536">
        <v>0.01</v>
      </c>
    </row>
    <row r="2537" spans="1:11" x14ac:dyDescent="0.35">
      <c r="A2537" s="204">
        <v>42130</v>
      </c>
      <c r="B2537" s="544">
        <v>2.85</v>
      </c>
      <c r="C2537">
        <v>2.89</v>
      </c>
      <c r="D2537">
        <v>3.39</v>
      </c>
      <c r="E2537">
        <v>4.6399999999999997</v>
      </c>
      <c r="F2537">
        <v>0.78</v>
      </c>
      <c r="G2537">
        <v>1.03</v>
      </c>
      <c r="H2537">
        <v>1.5</v>
      </c>
      <c r="I2537">
        <v>1.25</v>
      </c>
      <c r="J2537">
        <v>0.15</v>
      </c>
      <c r="K2537">
        <v>0.01</v>
      </c>
    </row>
    <row r="2538" spans="1:11" x14ac:dyDescent="0.35">
      <c r="A2538" s="204">
        <v>42137</v>
      </c>
      <c r="B2538" s="544">
        <v>2.85</v>
      </c>
      <c r="C2538">
        <v>2.89</v>
      </c>
      <c r="D2538">
        <v>3.39</v>
      </c>
      <c r="E2538">
        <v>4.6399999999999997</v>
      </c>
      <c r="F2538">
        <v>0.78</v>
      </c>
      <c r="G2538">
        <v>1.03</v>
      </c>
      <c r="H2538">
        <v>1.5</v>
      </c>
      <c r="I2538">
        <v>1.25</v>
      </c>
      <c r="J2538">
        <v>0.15</v>
      </c>
      <c r="K2538">
        <v>0.01</v>
      </c>
    </row>
    <row r="2539" spans="1:11" x14ac:dyDescent="0.35">
      <c r="A2539" s="204">
        <v>42144</v>
      </c>
      <c r="B2539" s="544">
        <v>2.85</v>
      </c>
      <c r="C2539">
        <v>2.89</v>
      </c>
      <c r="D2539">
        <v>3.39</v>
      </c>
      <c r="E2539">
        <v>4.6399999999999997</v>
      </c>
      <c r="F2539">
        <v>0.88</v>
      </c>
      <c r="G2539">
        <v>1.03</v>
      </c>
      <c r="H2539">
        <v>1.5</v>
      </c>
      <c r="I2539">
        <v>1.25</v>
      </c>
      <c r="J2539">
        <v>0.15</v>
      </c>
      <c r="K2539">
        <v>0.01</v>
      </c>
    </row>
    <row r="2540" spans="1:11" x14ac:dyDescent="0.35">
      <c r="A2540" s="204">
        <v>42151</v>
      </c>
      <c r="B2540" s="544">
        <v>2.85</v>
      </c>
      <c r="C2540">
        <v>2.89</v>
      </c>
      <c r="D2540">
        <v>3.39</v>
      </c>
      <c r="E2540">
        <v>4.6399999999999997</v>
      </c>
      <c r="F2540">
        <v>0.88</v>
      </c>
      <c r="G2540">
        <v>1.03</v>
      </c>
      <c r="H2540">
        <v>1.5</v>
      </c>
      <c r="I2540">
        <v>1.25</v>
      </c>
      <c r="J2540">
        <v>0.15</v>
      </c>
      <c r="K2540">
        <v>0.01</v>
      </c>
    </row>
    <row r="2541" spans="1:11" x14ac:dyDescent="0.35">
      <c r="A2541" s="204">
        <v>42158</v>
      </c>
      <c r="B2541" s="544">
        <v>2.85</v>
      </c>
      <c r="C2541">
        <v>2.89</v>
      </c>
      <c r="D2541">
        <v>3.39</v>
      </c>
      <c r="E2541">
        <v>4.6399999999999997</v>
      </c>
      <c r="F2541">
        <v>0.88</v>
      </c>
      <c r="G2541">
        <v>1.03</v>
      </c>
      <c r="H2541">
        <v>1.5</v>
      </c>
      <c r="I2541">
        <v>1.25</v>
      </c>
      <c r="J2541">
        <v>0.15</v>
      </c>
      <c r="K2541">
        <v>0.01</v>
      </c>
    </row>
    <row r="2542" spans="1:11" x14ac:dyDescent="0.35">
      <c r="A2542" s="204">
        <v>42165</v>
      </c>
      <c r="B2542" s="544">
        <v>2.85</v>
      </c>
      <c r="C2542">
        <v>2.89</v>
      </c>
      <c r="D2542">
        <v>3.39</v>
      </c>
      <c r="E2542">
        <v>4.6399999999999997</v>
      </c>
      <c r="F2542">
        <v>0.88</v>
      </c>
      <c r="G2542">
        <v>1.03</v>
      </c>
      <c r="H2542">
        <v>1.5</v>
      </c>
      <c r="I2542">
        <v>1.25</v>
      </c>
      <c r="J2542">
        <v>0.15</v>
      </c>
      <c r="K2542">
        <v>0.01</v>
      </c>
    </row>
    <row r="2543" spans="1:11" x14ac:dyDescent="0.35">
      <c r="A2543" s="204">
        <v>42172</v>
      </c>
      <c r="B2543" s="544">
        <v>2.85</v>
      </c>
      <c r="C2543">
        <v>2.89</v>
      </c>
      <c r="D2543">
        <v>3.39</v>
      </c>
      <c r="E2543">
        <v>4.6399999999999997</v>
      </c>
      <c r="F2543">
        <v>0.88</v>
      </c>
      <c r="G2543">
        <v>1.03</v>
      </c>
      <c r="H2543">
        <v>1.5</v>
      </c>
      <c r="I2543">
        <v>1.25</v>
      </c>
      <c r="J2543">
        <v>0.15</v>
      </c>
      <c r="K2543">
        <v>0.01</v>
      </c>
    </row>
    <row r="2544" spans="1:11" x14ac:dyDescent="0.35">
      <c r="A2544" s="204">
        <v>42179</v>
      </c>
      <c r="B2544" s="544">
        <v>2.85</v>
      </c>
      <c r="C2544">
        <v>2.89</v>
      </c>
      <c r="D2544">
        <v>3.39</v>
      </c>
      <c r="E2544">
        <v>4.6399999999999997</v>
      </c>
      <c r="F2544">
        <v>0.88</v>
      </c>
      <c r="G2544">
        <v>1.03</v>
      </c>
      <c r="H2544">
        <v>1.5</v>
      </c>
      <c r="I2544">
        <v>1.25</v>
      </c>
      <c r="J2544">
        <v>0.15</v>
      </c>
      <c r="K2544">
        <v>0.01</v>
      </c>
    </row>
    <row r="2545" spans="1:11" x14ac:dyDescent="0.35">
      <c r="A2545" s="204">
        <v>42186</v>
      </c>
      <c r="B2545" s="544">
        <v>2.85</v>
      </c>
      <c r="C2545">
        <v>2.89</v>
      </c>
      <c r="D2545">
        <v>3.39</v>
      </c>
      <c r="E2545">
        <v>4.6399999999999997</v>
      </c>
      <c r="F2545">
        <v>0.85</v>
      </c>
      <c r="G2545">
        <v>1.03</v>
      </c>
      <c r="H2545">
        <v>1.5</v>
      </c>
      <c r="I2545">
        <v>1.25</v>
      </c>
      <c r="J2545">
        <v>0.15</v>
      </c>
      <c r="K2545">
        <v>0.01</v>
      </c>
    </row>
    <row r="2546" spans="1:11" x14ac:dyDescent="0.35">
      <c r="A2546" s="204">
        <v>42193</v>
      </c>
      <c r="B2546" s="544">
        <v>2.85</v>
      </c>
      <c r="C2546">
        <v>2.89</v>
      </c>
      <c r="D2546">
        <v>3.39</v>
      </c>
      <c r="E2546">
        <v>4.6399999999999997</v>
      </c>
      <c r="F2546">
        <v>0.85</v>
      </c>
      <c r="G2546">
        <v>1.03</v>
      </c>
      <c r="H2546">
        <v>1.5</v>
      </c>
      <c r="I2546">
        <v>1.25</v>
      </c>
      <c r="J2546">
        <v>0.15</v>
      </c>
      <c r="K2546">
        <v>0.01</v>
      </c>
    </row>
    <row r="2547" spans="1:11" x14ac:dyDescent="0.35">
      <c r="A2547" s="204">
        <v>42200</v>
      </c>
      <c r="B2547" s="544">
        <v>2.85</v>
      </c>
      <c r="C2547">
        <v>2.89</v>
      </c>
      <c r="D2547">
        <v>3.39</v>
      </c>
      <c r="E2547">
        <v>4.6399999999999997</v>
      </c>
      <c r="F2547">
        <v>0.85</v>
      </c>
      <c r="G2547">
        <v>1.03</v>
      </c>
      <c r="H2547">
        <v>1.5</v>
      </c>
      <c r="I2547">
        <v>1.25</v>
      </c>
      <c r="J2547">
        <v>0.15</v>
      </c>
      <c r="K2547">
        <v>0.01</v>
      </c>
    </row>
    <row r="2548" spans="1:11" x14ac:dyDescent="0.35">
      <c r="A2548" s="204">
        <v>42207</v>
      </c>
      <c r="B2548" s="544">
        <v>2.7</v>
      </c>
      <c r="C2548">
        <v>2.89</v>
      </c>
      <c r="D2548">
        <v>3.39</v>
      </c>
      <c r="E2548">
        <v>4.6399999999999997</v>
      </c>
      <c r="F2548">
        <v>0.85</v>
      </c>
      <c r="G2548">
        <v>1.03</v>
      </c>
      <c r="H2548">
        <v>1.38</v>
      </c>
      <c r="I2548">
        <v>1.25</v>
      </c>
      <c r="J2548">
        <v>0.05</v>
      </c>
      <c r="K2548">
        <v>0.05</v>
      </c>
    </row>
    <row r="2549" spans="1:11" x14ac:dyDescent="0.35">
      <c r="A2549" s="204">
        <v>42214</v>
      </c>
      <c r="B2549" s="544">
        <v>2.7</v>
      </c>
      <c r="C2549">
        <v>2.89</v>
      </c>
      <c r="D2549">
        <v>3.39</v>
      </c>
      <c r="E2549">
        <v>4.6399999999999997</v>
      </c>
      <c r="F2549">
        <v>0.85</v>
      </c>
      <c r="G2549">
        <v>1.03</v>
      </c>
      <c r="H2549">
        <v>1.5</v>
      </c>
      <c r="I2549">
        <v>1.25</v>
      </c>
      <c r="J2549">
        <v>0.05</v>
      </c>
      <c r="K2549">
        <v>0.05</v>
      </c>
    </row>
    <row r="2550" spans="1:11" x14ac:dyDescent="0.35">
      <c r="A2550" s="204">
        <v>42221</v>
      </c>
      <c r="B2550" s="544">
        <v>2.7</v>
      </c>
      <c r="C2550">
        <v>2.89</v>
      </c>
      <c r="D2550">
        <v>3.39</v>
      </c>
      <c r="E2550">
        <v>4.6399999999999997</v>
      </c>
      <c r="F2550">
        <v>0.85</v>
      </c>
      <c r="G2550">
        <v>1.03</v>
      </c>
      <c r="H2550">
        <v>1.5</v>
      </c>
      <c r="I2550">
        <v>1.25</v>
      </c>
      <c r="J2550">
        <v>0.05</v>
      </c>
      <c r="K2550">
        <v>0.05</v>
      </c>
    </row>
    <row r="2551" spans="1:11" x14ac:dyDescent="0.35">
      <c r="A2551" s="204">
        <v>42228</v>
      </c>
      <c r="B2551" s="544">
        <v>2.7</v>
      </c>
      <c r="C2551">
        <v>2.89</v>
      </c>
      <c r="D2551">
        <v>3.39</v>
      </c>
      <c r="E2551">
        <v>4.6399999999999997</v>
      </c>
      <c r="F2551">
        <v>0.85</v>
      </c>
      <c r="G2551">
        <v>1.03</v>
      </c>
      <c r="H2551">
        <v>1.5</v>
      </c>
      <c r="I2551">
        <v>1.25</v>
      </c>
      <c r="J2551">
        <v>0.05</v>
      </c>
      <c r="K2551">
        <v>0.05</v>
      </c>
    </row>
    <row r="2552" spans="1:11" x14ac:dyDescent="0.35">
      <c r="A2552" s="204">
        <v>42235</v>
      </c>
      <c r="B2552" s="544">
        <v>2.7</v>
      </c>
      <c r="C2552">
        <v>2.89</v>
      </c>
      <c r="D2552">
        <v>3.39</v>
      </c>
      <c r="E2552">
        <v>4.6399999999999997</v>
      </c>
      <c r="F2552">
        <v>0.73</v>
      </c>
      <c r="G2552">
        <v>1.03</v>
      </c>
      <c r="H2552">
        <v>1.5</v>
      </c>
      <c r="I2552">
        <v>1.25</v>
      </c>
      <c r="J2552">
        <v>0.05</v>
      </c>
      <c r="K2552">
        <v>0.05</v>
      </c>
    </row>
    <row r="2553" spans="1:11" x14ac:dyDescent="0.35">
      <c r="A2553" s="204">
        <v>42242</v>
      </c>
      <c r="B2553" s="544">
        <v>2.7</v>
      </c>
      <c r="C2553">
        <v>2.89</v>
      </c>
      <c r="D2553">
        <v>3.39</v>
      </c>
      <c r="E2553">
        <v>4.6399999999999997</v>
      </c>
      <c r="F2553">
        <v>0.73</v>
      </c>
      <c r="G2553">
        <v>1.03</v>
      </c>
      <c r="H2553">
        <v>1.5</v>
      </c>
      <c r="I2553">
        <v>1.25</v>
      </c>
      <c r="J2553">
        <v>0.05</v>
      </c>
      <c r="K2553">
        <v>0.05</v>
      </c>
    </row>
    <row r="2554" spans="1:11" x14ac:dyDescent="0.35">
      <c r="A2554" s="204">
        <v>42249</v>
      </c>
      <c r="B2554" s="544">
        <v>2.7</v>
      </c>
      <c r="C2554">
        <v>2.89</v>
      </c>
      <c r="D2554">
        <v>3.39</v>
      </c>
      <c r="E2554">
        <v>4.6399999999999997</v>
      </c>
      <c r="F2554">
        <v>0.73</v>
      </c>
      <c r="G2554">
        <v>1.03</v>
      </c>
      <c r="H2554">
        <v>1.5</v>
      </c>
      <c r="I2554">
        <v>1.25</v>
      </c>
      <c r="J2554">
        <v>0.05</v>
      </c>
      <c r="K2554">
        <v>0.05</v>
      </c>
    </row>
    <row r="2555" spans="1:11" x14ac:dyDescent="0.35">
      <c r="A2555" s="204">
        <v>42256</v>
      </c>
      <c r="B2555" s="544">
        <v>2.7</v>
      </c>
      <c r="C2555">
        <v>2.89</v>
      </c>
      <c r="D2555">
        <v>3.39</v>
      </c>
      <c r="E2555">
        <v>4.6399999999999997</v>
      </c>
      <c r="F2555">
        <v>0.73</v>
      </c>
      <c r="G2555">
        <v>1.03</v>
      </c>
      <c r="H2555">
        <v>1.5</v>
      </c>
      <c r="I2555">
        <v>1.25</v>
      </c>
      <c r="J2555">
        <v>0.05</v>
      </c>
      <c r="K2555">
        <v>0.05</v>
      </c>
    </row>
    <row r="2556" spans="1:11" x14ac:dyDescent="0.35">
      <c r="A2556" s="204">
        <v>42263</v>
      </c>
      <c r="B2556" s="544">
        <v>2.7</v>
      </c>
      <c r="C2556">
        <v>2.89</v>
      </c>
      <c r="D2556">
        <v>3.39</v>
      </c>
      <c r="E2556">
        <v>4.6399999999999997</v>
      </c>
      <c r="F2556">
        <v>0.73</v>
      </c>
      <c r="G2556">
        <v>1.03</v>
      </c>
      <c r="H2556">
        <v>1.5</v>
      </c>
      <c r="I2556">
        <v>1.25</v>
      </c>
      <c r="J2556">
        <v>0.05</v>
      </c>
      <c r="K2556">
        <v>0.05</v>
      </c>
    </row>
    <row r="2557" spans="1:11" x14ac:dyDescent="0.35">
      <c r="A2557" s="204">
        <v>42270</v>
      </c>
      <c r="B2557" s="544">
        <v>2.7</v>
      </c>
      <c r="C2557">
        <v>2.89</v>
      </c>
      <c r="D2557">
        <v>3.39</v>
      </c>
      <c r="E2557">
        <v>4.6399999999999997</v>
      </c>
      <c r="F2557">
        <v>0.73</v>
      </c>
      <c r="G2557">
        <v>1.03</v>
      </c>
      <c r="H2557">
        <v>1.5</v>
      </c>
      <c r="I2557">
        <v>1.25</v>
      </c>
      <c r="J2557">
        <v>0.05</v>
      </c>
      <c r="K2557">
        <v>0.05</v>
      </c>
    </row>
    <row r="2558" spans="1:11" x14ac:dyDescent="0.35">
      <c r="A2558" s="204">
        <v>42277</v>
      </c>
      <c r="B2558" s="544">
        <v>2.7</v>
      </c>
      <c r="C2558">
        <v>2.89</v>
      </c>
      <c r="D2558">
        <v>3.39</v>
      </c>
      <c r="E2558">
        <v>4.6399999999999997</v>
      </c>
      <c r="F2558">
        <v>0.73</v>
      </c>
      <c r="G2558">
        <v>1.03</v>
      </c>
      <c r="H2558">
        <v>1.5</v>
      </c>
      <c r="I2558">
        <v>1.25</v>
      </c>
      <c r="J2558">
        <v>0.05</v>
      </c>
      <c r="K2558">
        <v>0.05</v>
      </c>
    </row>
    <row r="2559" spans="1:11" x14ac:dyDescent="0.35">
      <c r="A2559" s="204">
        <v>42284</v>
      </c>
      <c r="B2559" s="544">
        <v>2.7</v>
      </c>
      <c r="C2559">
        <v>2.89</v>
      </c>
      <c r="D2559">
        <v>3.39</v>
      </c>
      <c r="E2559">
        <v>4.6399999999999997</v>
      </c>
      <c r="F2559">
        <v>0.73</v>
      </c>
      <c r="G2559">
        <v>1.03</v>
      </c>
      <c r="H2559">
        <v>1.5</v>
      </c>
      <c r="I2559">
        <v>1.25</v>
      </c>
      <c r="J2559">
        <v>0.05</v>
      </c>
      <c r="K2559">
        <v>0.05</v>
      </c>
    </row>
    <row r="2560" spans="1:11" x14ac:dyDescent="0.35">
      <c r="A2560" s="204">
        <v>42291</v>
      </c>
      <c r="B2560" s="544">
        <v>2.7</v>
      </c>
      <c r="C2560">
        <v>2.89</v>
      </c>
      <c r="D2560">
        <v>3.39</v>
      </c>
      <c r="E2560">
        <v>4.6399999999999997</v>
      </c>
      <c r="F2560">
        <v>0.73</v>
      </c>
      <c r="G2560">
        <v>1.03</v>
      </c>
      <c r="H2560">
        <v>1.5</v>
      </c>
      <c r="I2560">
        <v>1.25</v>
      </c>
      <c r="J2560">
        <v>0.05</v>
      </c>
      <c r="K2560">
        <v>0.05</v>
      </c>
    </row>
    <row r="2561" spans="1:11" x14ac:dyDescent="0.35">
      <c r="A2561" s="204">
        <v>42298</v>
      </c>
      <c r="B2561" s="544">
        <v>2.7</v>
      </c>
      <c r="C2561">
        <v>2.89</v>
      </c>
      <c r="D2561">
        <v>3.39</v>
      </c>
      <c r="E2561">
        <v>4.6399999999999997</v>
      </c>
      <c r="F2561">
        <v>0.73</v>
      </c>
      <c r="G2561">
        <v>1.03</v>
      </c>
      <c r="H2561">
        <v>1.5</v>
      </c>
      <c r="I2561">
        <v>1.25</v>
      </c>
      <c r="J2561">
        <v>0.05</v>
      </c>
      <c r="K2561">
        <v>0.05</v>
      </c>
    </row>
    <row r="2562" spans="1:11" x14ac:dyDescent="0.35">
      <c r="A2562" s="204">
        <v>42305</v>
      </c>
      <c r="B2562" s="544">
        <v>2.7</v>
      </c>
      <c r="C2562">
        <v>2.89</v>
      </c>
      <c r="D2562">
        <v>3.39</v>
      </c>
      <c r="E2562">
        <v>4.6399999999999997</v>
      </c>
      <c r="F2562">
        <v>0.73</v>
      </c>
      <c r="G2562">
        <v>1.03</v>
      </c>
      <c r="H2562">
        <v>1.5</v>
      </c>
      <c r="I2562">
        <v>1.25</v>
      </c>
      <c r="J2562">
        <v>0.05</v>
      </c>
      <c r="K2562">
        <v>0.05</v>
      </c>
    </row>
    <row r="2563" spans="1:11" x14ac:dyDescent="0.35">
      <c r="A2563" s="204">
        <v>42312</v>
      </c>
      <c r="B2563" s="544">
        <v>2.7</v>
      </c>
      <c r="C2563">
        <v>3.14</v>
      </c>
      <c r="D2563">
        <v>3.39</v>
      </c>
      <c r="E2563">
        <v>4.6399999999999997</v>
      </c>
      <c r="F2563">
        <v>0.73</v>
      </c>
      <c r="G2563">
        <v>1.03</v>
      </c>
      <c r="H2563">
        <v>1.5</v>
      </c>
      <c r="I2563">
        <v>1.25</v>
      </c>
      <c r="J2563">
        <v>0.05</v>
      </c>
      <c r="K2563">
        <v>0.05</v>
      </c>
    </row>
    <row r="2564" spans="1:11" x14ac:dyDescent="0.35">
      <c r="A2564" s="204">
        <v>42319</v>
      </c>
      <c r="B2564" s="544">
        <v>2.7</v>
      </c>
      <c r="C2564">
        <v>3.14</v>
      </c>
      <c r="D2564">
        <v>3.39</v>
      </c>
      <c r="E2564">
        <v>4.6399999999999997</v>
      </c>
      <c r="F2564">
        <v>0.85</v>
      </c>
      <c r="G2564">
        <v>1.03</v>
      </c>
      <c r="H2564">
        <v>1.5</v>
      </c>
      <c r="I2564">
        <v>1.25</v>
      </c>
      <c r="J2564">
        <v>0.05</v>
      </c>
      <c r="K2564">
        <v>0.05</v>
      </c>
    </row>
    <row r="2565" spans="1:11" x14ac:dyDescent="0.35">
      <c r="A2565" s="204">
        <v>42326</v>
      </c>
      <c r="B2565" s="544">
        <v>2.7</v>
      </c>
      <c r="C2565">
        <v>3.14</v>
      </c>
      <c r="D2565">
        <v>3.39</v>
      </c>
      <c r="E2565">
        <v>4.6399999999999997</v>
      </c>
      <c r="F2565">
        <v>0.85</v>
      </c>
      <c r="G2565">
        <v>1.03</v>
      </c>
      <c r="H2565">
        <v>1.5</v>
      </c>
      <c r="I2565">
        <v>1.25</v>
      </c>
      <c r="J2565">
        <v>0.05</v>
      </c>
      <c r="K2565">
        <v>0.05</v>
      </c>
    </row>
    <row r="2566" spans="1:11" x14ac:dyDescent="0.35">
      <c r="A2566" s="204">
        <v>42333</v>
      </c>
      <c r="B2566" s="544">
        <v>2.7</v>
      </c>
      <c r="C2566">
        <v>3.14</v>
      </c>
      <c r="D2566">
        <v>3.39</v>
      </c>
      <c r="E2566">
        <v>4.6399999999999997</v>
      </c>
      <c r="F2566">
        <v>0.85</v>
      </c>
      <c r="G2566">
        <v>1.03</v>
      </c>
      <c r="H2566">
        <v>1.5</v>
      </c>
      <c r="I2566">
        <v>1.25</v>
      </c>
      <c r="J2566">
        <v>0.05</v>
      </c>
      <c r="K2566">
        <v>0.05</v>
      </c>
    </row>
    <row r="2567" spans="1:11" x14ac:dyDescent="0.35">
      <c r="A2567" s="204">
        <v>42340</v>
      </c>
      <c r="B2567" s="544">
        <v>2.7</v>
      </c>
      <c r="C2567">
        <v>3.14</v>
      </c>
      <c r="D2567">
        <v>3.39</v>
      </c>
      <c r="E2567">
        <v>4.6399999999999997</v>
      </c>
      <c r="F2567">
        <v>0.85</v>
      </c>
      <c r="G2567">
        <v>1.03</v>
      </c>
      <c r="H2567">
        <v>1.5</v>
      </c>
      <c r="I2567">
        <v>1.25</v>
      </c>
      <c r="J2567">
        <v>0.05</v>
      </c>
      <c r="K2567">
        <v>0.05</v>
      </c>
    </row>
    <row r="2568" spans="1:11" x14ac:dyDescent="0.35">
      <c r="A2568" s="204">
        <v>42347</v>
      </c>
      <c r="B2568" s="544">
        <v>2.7</v>
      </c>
      <c r="C2568">
        <v>3.14</v>
      </c>
      <c r="D2568">
        <v>3.39</v>
      </c>
      <c r="E2568">
        <v>4.6399999999999997</v>
      </c>
      <c r="F2568">
        <v>0.85</v>
      </c>
      <c r="G2568">
        <v>1.03</v>
      </c>
      <c r="H2568">
        <v>1.5</v>
      </c>
      <c r="I2568">
        <v>1.25</v>
      </c>
      <c r="J2568">
        <v>0.05</v>
      </c>
      <c r="K2568">
        <v>0.05</v>
      </c>
    </row>
    <row r="2569" spans="1:11" x14ac:dyDescent="0.35">
      <c r="A2569" s="204">
        <v>42354</v>
      </c>
      <c r="B2569" s="544">
        <v>2.7</v>
      </c>
      <c r="C2569">
        <v>3.14</v>
      </c>
      <c r="D2569">
        <v>3.39</v>
      </c>
      <c r="E2569">
        <v>4.6399999999999997</v>
      </c>
      <c r="F2569">
        <v>0.85</v>
      </c>
      <c r="G2569">
        <v>1.03</v>
      </c>
      <c r="H2569">
        <v>1.5</v>
      </c>
      <c r="I2569">
        <v>1.25</v>
      </c>
      <c r="J2569">
        <v>0.05</v>
      </c>
      <c r="K2569">
        <v>0.05</v>
      </c>
    </row>
    <row r="2570" spans="1:11" x14ac:dyDescent="0.35">
      <c r="A2570" s="204">
        <v>42361</v>
      </c>
      <c r="B2570" s="544">
        <v>2.7</v>
      </c>
      <c r="C2570">
        <v>3.14</v>
      </c>
      <c r="D2570">
        <v>3.39</v>
      </c>
      <c r="E2570">
        <v>4.6399999999999997</v>
      </c>
      <c r="F2570">
        <v>0.85</v>
      </c>
      <c r="G2570">
        <v>1.03</v>
      </c>
      <c r="H2570">
        <v>1.5</v>
      </c>
      <c r="I2570">
        <v>1.25</v>
      </c>
      <c r="J2570">
        <v>0.05</v>
      </c>
      <c r="K2570">
        <v>0.05</v>
      </c>
    </row>
    <row r="2571" spans="1:11" x14ac:dyDescent="0.35">
      <c r="A2571" s="204">
        <v>42368</v>
      </c>
      <c r="B2571" s="544">
        <v>2.7</v>
      </c>
      <c r="C2571">
        <v>3.14</v>
      </c>
      <c r="D2571">
        <v>3.39</v>
      </c>
      <c r="E2571">
        <v>4.6399999999999997</v>
      </c>
      <c r="F2571">
        <v>0.85</v>
      </c>
      <c r="G2571">
        <v>1.03</v>
      </c>
      <c r="H2571">
        <v>1.5</v>
      </c>
      <c r="I2571">
        <v>1.25</v>
      </c>
      <c r="J2571">
        <v>0.05</v>
      </c>
      <c r="K2571">
        <v>0.05</v>
      </c>
    </row>
    <row r="2572" spans="1:11" x14ac:dyDescent="0.35">
      <c r="A2572" s="204">
        <v>42375</v>
      </c>
      <c r="B2572" s="544">
        <v>2.7</v>
      </c>
      <c r="C2572">
        <v>3.14</v>
      </c>
      <c r="D2572">
        <v>3.39</v>
      </c>
      <c r="E2572">
        <v>4.6399999999999997</v>
      </c>
      <c r="F2572">
        <v>0.85</v>
      </c>
      <c r="G2572">
        <v>1.03</v>
      </c>
      <c r="H2572">
        <v>1.5</v>
      </c>
      <c r="I2572">
        <v>1.25</v>
      </c>
      <c r="J2572">
        <v>0.05</v>
      </c>
      <c r="K2572">
        <v>0.05</v>
      </c>
    </row>
    <row r="2573" spans="1:11" x14ac:dyDescent="0.35">
      <c r="A2573" s="204">
        <v>42382</v>
      </c>
      <c r="B2573" s="544">
        <v>2.7</v>
      </c>
      <c r="C2573">
        <v>3.14</v>
      </c>
      <c r="D2573">
        <v>3.39</v>
      </c>
      <c r="E2573">
        <v>4.6399999999999997</v>
      </c>
      <c r="F2573">
        <v>0.85</v>
      </c>
      <c r="G2573">
        <v>1.03</v>
      </c>
      <c r="H2573">
        <v>1.5</v>
      </c>
      <c r="I2573">
        <v>1.25</v>
      </c>
      <c r="J2573">
        <v>0.05</v>
      </c>
      <c r="K2573">
        <v>0.05</v>
      </c>
    </row>
    <row r="2574" spans="1:11" x14ac:dyDescent="0.35">
      <c r="A2574" s="204">
        <v>42389</v>
      </c>
      <c r="B2574" s="544">
        <v>2.7</v>
      </c>
      <c r="C2574">
        <v>3.14</v>
      </c>
      <c r="D2574">
        <v>3.39</v>
      </c>
      <c r="E2574">
        <v>4.6399999999999997</v>
      </c>
      <c r="F2574">
        <v>0.85</v>
      </c>
      <c r="G2574">
        <v>1.03</v>
      </c>
      <c r="H2574">
        <v>1.5</v>
      </c>
      <c r="I2574">
        <v>1.25</v>
      </c>
      <c r="J2574">
        <v>0.05</v>
      </c>
      <c r="K2574">
        <v>0.05</v>
      </c>
    </row>
    <row r="2575" spans="1:11" x14ac:dyDescent="0.35">
      <c r="A2575" s="204">
        <v>42396</v>
      </c>
      <c r="B2575" s="544">
        <v>2.7</v>
      </c>
      <c r="C2575">
        <v>3.14</v>
      </c>
      <c r="D2575">
        <v>3.39</v>
      </c>
      <c r="E2575">
        <v>4.6399999999999997</v>
      </c>
      <c r="F2575">
        <v>0.85</v>
      </c>
      <c r="G2575">
        <v>1.03</v>
      </c>
      <c r="H2575">
        <v>1.5</v>
      </c>
      <c r="I2575">
        <v>1.25</v>
      </c>
      <c r="J2575">
        <v>0.05</v>
      </c>
      <c r="K2575">
        <v>0.05</v>
      </c>
    </row>
    <row r="2576" spans="1:11" x14ac:dyDescent="0.35">
      <c r="A2576" s="204">
        <v>42403</v>
      </c>
      <c r="B2576" s="544">
        <v>2.7</v>
      </c>
      <c r="C2576">
        <v>3.14</v>
      </c>
      <c r="D2576">
        <v>3.39</v>
      </c>
      <c r="E2576">
        <v>4.6399999999999997</v>
      </c>
      <c r="F2576">
        <v>0.85</v>
      </c>
      <c r="G2576">
        <v>1.03</v>
      </c>
      <c r="H2576">
        <v>1.5</v>
      </c>
      <c r="I2576">
        <v>1.25</v>
      </c>
      <c r="J2576">
        <v>0.05</v>
      </c>
      <c r="K2576">
        <v>0.05</v>
      </c>
    </row>
    <row r="2577" spans="1:11" x14ac:dyDescent="0.35">
      <c r="A2577" s="204">
        <v>42410</v>
      </c>
      <c r="B2577" s="544">
        <v>2.7</v>
      </c>
      <c r="C2577">
        <v>3.14</v>
      </c>
      <c r="D2577">
        <v>3.39</v>
      </c>
      <c r="E2577">
        <v>4.6399999999999997</v>
      </c>
      <c r="F2577">
        <v>0.85</v>
      </c>
      <c r="G2577">
        <v>1.03</v>
      </c>
      <c r="H2577">
        <v>1.5</v>
      </c>
      <c r="I2577">
        <v>1.25</v>
      </c>
      <c r="J2577">
        <v>0.05</v>
      </c>
      <c r="K2577">
        <v>0.05</v>
      </c>
    </row>
    <row r="2578" spans="1:11" x14ac:dyDescent="0.35">
      <c r="A2578" s="204">
        <v>42417</v>
      </c>
      <c r="B2578" s="544">
        <v>2.7</v>
      </c>
      <c r="C2578">
        <v>3.14</v>
      </c>
      <c r="D2578">
        <v>3.39</v>
      </c>
      <c r="E2578">
        <v>4.6399999999999997</v>
      </c>
      <c r="F2578">
        <v>0.85</v>
      </c>
      <c r="G2578">
        <v>1.03</v>
      </c>
      <c r="H2578">
        <v>1.5</v>
      </c>
      <c r="I2578">
        <v>1.25</v>
      </c>
      <c r="J2578">
        <v>0.05</v>
      </c>
      <c r="K2578">
        <v>0.05</v>
      </c>
    </row>
    <row r="2579" spans="1:11" x14ac:dyDescent="0.35">
      <c r="A2579" s="204">
        <v>42424</v>
      </c>
      <c r="B2579" s="544">
        <v>2.7</v>
      </c>
      <c r="C2579">
        <v>3.14</v>
      </c>
      <c r="D2579">
        <v>3.39</v>
      </c>
      <c r="E2579">
        <v>4.6399999999999997</v>
      </c>
      <c r="F2579">
        <v>0.85</v>
      </c>
      <c r="G2579">
        <v>1.03</v>
      </c>
      <c r="H2579">
        <v>1.5</v>
      </c>
      <c r="I2579">
        <v>1.25</v>
      </c>
      <c r="J2579">
        <v>0.05</v>
      </c>
      <c r="K2579">
        <v>0.05</v>
      </c>
    </row>
    <row r="2580" spans="1:11" x14ac:dyDescent="0.35">
      <c r="A2580" s="204">
        <v>42431</v>
      </c>
      <c r="B2580" s="544">
        <v>2.7</v>
      </c>
      <c r="C2580">
        <v>3.14</v>
      </c>
      <c r="D2580">
        <v>3.39</v>
      </c>
      <c r="E2580">
        <v>4.6399999999999997</v>
      </c>
      <c r="F2580">
        <v>0.85</v>
      </c>
      <c r="G2580">
        <v>1.03</v>
      </c>
      <c r="H2580">
        <v>1.5</v>
      </c>
      <c r="I2580">
        <v>1.25</v>
      </c>
      <c r="J2580">
        <v>0.05</v>
      </c>
      <c r="K2580">
        <v>0.05</v>
      </c>
    </row>
    <row r="2581" spans="1:11" x14ac:dyDescent="0.35">
      <c r="A2581" s="204">
        <v>42438</v>
      </c>
      <c r="B2581" s="544">
        <v>2.7</v>
      </c>
      <c r="C2581">
        <v>3.14</v>
      </c>
      <c r="D2581">
        <v>3.39</v>
      </c>
      <c r="E2581">
        <v>4.6399999999999997</v>
      </c>
      <c r="F2581">
        <v>0.85</v>
      </c>
      <c r="G2581">
        <v>1.1499999999999999</v>
      </c>
      <c r="H2581">
        <v>1.38</v>
      </c>
      <c r="I2581">
        <v>1.1499999999999999</v>
      </c>
      <c r="J2581">
        <v>0.05</v>
      </c>
      <c r="K2581">
        <v>0.05</v>
      </c>
    </row>
    <row r="2582" spans="1:11" x14ac:dyDescent="0.35">
      <c r="A2582" s="204">
        <v>42445</v>
      </c>
      <c r="B2582" s="544">
        <v>2.7</v>
      </c>
      <c r="C2582">
        <v>3.14</v>
      </c>
      <c r="D2582">
        <v>3.39</v>
      </c>
      <c r="E2582">
        <v>4.6399999999999997</v>
      </c>
      <c r="F2582">
        <v>0.85</v>
      </c>
      <c r="G2582">
        <v>1.1499999999999999</v>
      </c>
      <c r="H2582">
        <v>1.38</v>
      </c>
      <c r="I2582">
        <v>1.1499999999999999</v>
      </c>
      <c r="J2582">
        <v>0.05</v>
      </c>
      <c r="K2582">
        <v>0.05</v>
      </c>
    </row>
    <row r="2583" spans="1:11" x14ac:dyDescent="0.35">
      <c r="A2583" s="204">
        <v>42452</v>
      </c>
      <c r="B2583" s="544">
        <v>2.7</v>
      </c>
      <c r="C2583">
        <v>3.14</v>
      </c>
      <c r="D2583">
        <v>3.39</v>
      </c>
      <c r="E2583">
        <v>4.6399999999999997</v>
      </c>
      <c r="F2583">
        <v>0.85</v>
      </c>
      <c r="G2583">
        <v>1.1499999999999999</v>
      </c>
      <c r="H2583">
        <v>1.38</v>
      </c>
      <c r="I2583">
        <v>1.1499999999999999</v>
      </c>
      <c r="J2583">
        <v>0.05</v>
      </c>
      <c r="K2583">
        <v>0.05</v>
      </c>
    </row>
    <row r="2584" spans="1:11" x14ac:dyDescent="0.35">
      <c r="A2584" s="204">
        <v>42459</v>
      </c>
      <c r="B2584" s="544">
        <v>2.7</v>
      </c>
      <c r="C2584">
        <v>3.14</v>
      </c>
      <c r="D2584">
        <v>3.39</v>
      </c>
      <c r="E2584">
        <v>4.6399999999999997</v>
      </c>
      <c r="F2584">
        <v>0.85</v>
      </c>
      <c r="G2584">
        <v>1.1499999999999999</v>
      </c>
      <c r="H2584">
        <v>1.38</v>
      </c>
      <c r="I2584">
        <v>1.1499999999999999</v>
      </c>
      <c r="J2584">
        <v>0.05</v>
      </c>
      <c r="K2584">
        <v>0.05</v>
      </c>
    </row>
    <row r="2585" spans="1:11" x14ac:dyDescent="0.35">
      <c r="A2585" s="204">
        <v>42466</v>
      </c>
      <c r="B2585" s="544">
        <v>2.7</v>
      </c>
      <c r="C2585">
        <v>3.14</v>
      </c>
      <c r="D2585">
        <v>3.39</v>
      </c>
      <c r="E2585">
        <v>4.6399999999999997</v>
      </c>
      <c r="F2585">
        <v>0.85</v>
      </c>
      <c r="G2585">
        <v>1.1499999999999999</v>
      </c>
      <c r="H2585">
        <v>1.38</v>
      </c>
      <c r="I2585">
        <v>1.1499999999999999</v>
      </c>
      <c r="J2585">
        <v>0.05</v>
      </c>
      <c r="K2585">
        <v>0.05</v>
      </c>
    </row>
    <row r="2586" spans="1:11" x14ac:dyDescent="0.35">
      <c r="A2586" s="204">
        <v>42473</v>
      </c>
      <c r="B2586" s="544">
        <v>2.7</v>
      </c>
      <c r="C2586">
        <v>3.14</v>
      </c>
      <c r="D2586">
        <v>3.39</v>
      </c>
      <c r="E2586">
        <v>4.6399999999999997</v>
      </c>
      <c r="F2586">
        <v>0.85</v>
      </c>
      <c r="G2586">
        <v>1.1499999999999999</v>
      </c>
      <c r="H2586">
        <v>1.38</v>
      </c>
      <c r="I2586">
        <v>1.1499999999999999</v>
      </c>
      <c r="J2586">
        <v>0.05</v>
      </c>
      <c r="K2586">
        <v>0.05</v>
      </c>
    </row>
    <row r="2587" spans="1:11" x14ac:dyDescent="0.35">
      <c r="A2587" s="204">
        <v>42480</v>
      </c>
      <c r="B2587" s="544">
        <v>2.7</v>
      </c>
      <c r="C2587">
        <v>3.14</v>
      </c>
      <c r="D2587">
        <v>3.39</v>
      </c>
      <c r="E2587">
        <v>4.6399999999999997</v>
      </c>
      <c r="F2587">
        <v>0.85</v>
      </c>
      <c r="G2587">
        <v>1.1499999999999999</v>
      </c>
      <c r="H2587">
        <v>1.38</v>
      </c>
      <c r="I2587">
        <v>1.1499999999999999</v>
      </c>
      <c r="J2587">
        <v>0.05</v>
      </c>
      <c r="K2587">
        <v>0.05</v>
      </c>
    </row>
    <row r="2588" spans="1:11" x14ac:dyDescent="0.35">
      <c r="A2588" s="204">
        <v>42487</v>
      </c>
      <c r="B2588" s="544">
        <v>2.7</v>
      </c>
      <c r="C2588">
        <v>3.14</v>
      </c>
      <c r="D2588">
        <v>3.39</v>
      </c>
      <c r="E2588">
        <v>4.6399999999999997</v>
      </c>
      <c r="F2588">
        <v>0.85</v>
      </c>
      <c r="G2588">
        <v>1.1499999999999999</v>
      </c>
      <c r="H2588">
        <v>1.38</v>
      </c>
      <c r="I2588">
        <v>1.1499999999999999</v>
      </c>
      <c r="J2588">
        <v>0.05</v>
      </c>
      <c r="K2588">
        <v>0.05</v>
      </c>
    </row>
    <row r="2589" spans="1:11" x14ac:dyDescent="0.35">
      <c r="A2589" s="204">
        <v>42494</v>
      </c>
      <c r="B2589" s="544">
        <v>2.7</v>
      </c>
      <c r="C2589">
        <v>3.14</v>
      </c>
      <c r="D2589">
        <v>3.39</v>
      </c>
      <c r="E2589">
        <v>4.6399999999999997</v>
      </c>
      <c r="F2589">
        <v>0.85</v>
      </c>
      <c r="G2589">
        <v>1.1499999999999999</v>
      </c>
      <c r="H2589">
        <v>1.38</v>
      </c>
      <c r="I2589">
        <v>1.1499999999999999</v>
      </c>
      <c r="J2589">
        <v>0.05</v>
      </c>
      <c r="K2589">
        <v>0.05</v>
      </c>
    </row>
    <row r="2590" spans="1:11" x14ac:dyDescent="0.35">
      <c r="A2590" s="204">
        <v>42501</v>
      </c>
      <c r="B2590" s="544">
        <v>2.7</v>
      </c>
      <c r="C2590">
        <v>3.14</v>
      </c>
      <c r="D2590">
        <v>3.39</v>
      </c>
      <c r="E2590">
        <v>4.6399999999999997</v>
      </c>
      <c r="F2590">
        <v>0.85</v>
      </c>
      <c r="G2590">
        <v>1.1499999999999999</v>
      </c>
      <c r="H2590">
        <v>1.38</v>
      </c>
      <c r="I2590">
        <v>1.1499999999999999</v>
      </c>
      <c r="J2590">
        <v>0.05</v>
      </c>
      <c r="K2590">
        <v>0.05</v>
      </c>
    </row>
    <row r="2591" spans="1:11" x14ac:dyDescent="0.35">
      <c r="A2591" s="204">
        <v>42508</v>
      </c>
      <c r="B2591" s="544">
        <v>2.7</v>
      </c>
      <c r="C2591">
        <v>3.14</v>
      </c>
      <c r="D2591">
        <v>3.39</v>
      </c>
      <c r="E2591">
        <v>4.6399999999999997</v>
      </c>
      <c r="F2591">
        <v>0.85</v>
      </c>
      <c r="G2591">
        <v>1.1499999999999999</v>
      </c>
      <c r="H2591">
        <v>1.38</v>
      </c>
      <c r="I2591">
        <v>1.1499999999999999</v>
      </c>
      <c r="J2591">
        <v>0.05</v>
      </c>
      <c r="K2591">
        <v>0.05</v>
      </c>
    </row>
    <row r="2592" spans="1:11" x14ac:dyDescent="0.35">
      <c r="A2592" s="204">
        <v>42515</v>
      </c>
      <c r="B2592" s="544">
        <v>2.7</v>
      </c>
      <c r="C2592">
        <v>3.14</v>
      </c>
      <c r="D2592">
        <v>3.39</v>
      </c>
      <c r="E2592">
        <v>4.6399999999999997</v>
      </c>
      <c r="F2592">
        <v>0.85</v>
      </c>
      <c r="G2592">
        <v>1.1499999999999999</v>
      </c>
      <c r="H2592">
        <v>1.38</v>
      </c>
      <c r="I2592">
        <v>1.1499999999999999</v>
      </c>
      <c r="J2592">
        <v>0.05</v>
      </c>
      <c r="K2592">
        <v>0.05</v>
      </c>
    </row>
    <row r="2593" spans="1:11" x14ac:dyDescent="0.35">
      <c r="A2593" s="204">
        <v>42522</v>
      </c>
      <c r="B2593" s="544">
        <v>2.7</v>
      </c>
      <c r="C2593">
        <v>3.14</v>
      </c>
      <c r="D2593">
        <v>3.39</v>
      </c>
      <c r="E2593">
        <v>4.6399999999999997</v>
      </c>
      <c r="F2593">
        <v>0.85</v>
      </c>
      <c r="G2593">
        <v>1.1499999999999999</v>
      </c>
      <c r="H2593">
        <v>1.38</v>
      </c>
      <c r="I2593">
        <v>1.1499999999999999</v>
      </c>
      <c r="J2593">
        <v>0.05</v>
      </c>
      <c r="K2593">
        <v>0.05</v>
      </c>
    </row>
    <row r="2594" spans="1:11" x14ac:dyDescent="0.35">
      <c r="A2594" s="204">
        <v>42529</v>
      </c>
      <c r="B2594" s="544">
        <v>2.7</v>
      </c>
      <c r="C2594">
        <v>3.14</v>
      </c>
      <c r="D2594">
        <v>3.39</v>
      </c>
      <c r="E2594">
        <v>4.6399999999999997</v>
      </c>
      <c r="F2594">
        <v>0.85</v>
      </c>
      <c r="G2594">
        <v>1.1499999999999999</v>
      </c>
      <c r="H2594">
        <v>1.38</v>
      </c>
      <c r="I2594">
        <v>1.1499999999999999</v>
      </c>
      <c r="J2594">
        <v>0.05</v>
      </c>
      <c r="K2594">
        <v>0.05</v>
      </c>
    </row>
    <row r="2595" spans="1:11" x14ac:dyDescent="0.35">
      <c r="A2595" s="204">
        <v>42536</v>
      </c>
      <c r="B2595" s="544">
        <v>2.7</v>
      </c>
      <c r="C2595">
        <v>3.14</v>
      </c>
      <c r="D2595">
        <v>3.39</v>
      </c>
      <c r="E2595">
        <v>4.6399999999999997</v>
      </c>
      <c r="F2595">
        <v>0.85</v>
      </c>
      <c r="G2595">
        <v>1.1499999999999999</v>
      </c>
      <c r="H2595">
        <v>1.38</v>
      </c>
      <c r="I2595">
        <v>1.1499999999999999</v>
      </c>
      <c r="J2595">
        <v>0.05</v>
      </c>
      <c r="K2595">
        <v>0.05</v>
      </c>
    </row>
    <row r="2596" spans="1:11" x14ac:dyDescent="0.35">
      <c r="A2596" s="204">
        <v>42543</v>
      </c>
      <c r="B2596" s="544">
        <v>2.7</v>
      </c>
      <c r="C2596">
        <v>3.14</v>
      </c>
      <c r="D2596">
        <v>3.39</v>
      </c>
      <c r="E2596">
        <v>4.6399999999999997</v>
      </c>
      <c r="F2596">
        <v>0.85</v>
      </c>
      <c r="G2596">
        <v>1.1499999999999999</v>
      </c>
      <c r="H2596">
        <v>1.38</v>
      </c>
      <c r="I2596">
        <v>1.1499999999999999</v>
      </c>
      <c r="J2596">
        <v>0.05</v>
      </c>
      <c r="K2596">
        <v>0.05</v>
      </c>
    </row>
    <row r="2597" spans="1:11" x14ac:dyDescent="0.35">
      <c r="A2597" s="204">
        <v>42550</v>
      </c>
      <c r="B2597" s="544">
        <v>2.7</v>
      </c>
      <c r="C2597">
        <v>3.14</v>
      </c>
      <c r="D2597">
        <v>3.39</v>
      </c>
      <c r="E2597">
        <v>4.6399999999999997</v>
      </c>
      <c r="F2597">
        <v>0.85</v>
      </c>
      <c r="G2597">
        <v>1.1499999999999999</v>
      </c>
      <c r="H2597">
        <v>1.38</v>
      </c>
      <c r="I2597">
        <v>1.1499999999999999</v>
      </c>
      <c r="J2597">
        <v>0.05</v>
      </c>
      <c r="K2597">
        <v>0.05</v>
      </c>
    </row>
    <row r="2598" spans="1:11" x14ac:dyDescent="0.35">
      <c r="A2598" s="204">
        <v>42557</v>
      </c>
      <c r="B2598" s="544">
        <v>2.7</v>
      </c>
      <c r="C2598">
        <v>3.14</v>
      </c>
      <c r="D2598">
        <v>3.39</v>
      </c>
      <c r="E2598">
        <v>4.74</v>
      </c>
      <c r="F2598">
        <v>0.85</v>
      </c>
      <c r="G2598">
        <v>1.1499999999999999</v>
      </c>
      <c r="H2598">
        <v>1.38</v>
      </c>
      <c r="I2598">
        <v>1.1499999999999999</v>
      </c>
      <c r="J2598">
        <v>0.05</v>
      </c>
      <c r="K2598">
        <v>0.05</v>
      </c>
    </row>
    <row r="2599" spans="1:11" x14ac:dyDescent="0.35">
      <c r="A2599" s="204">
        <v>42564</v>
      </c>
      <c r="B2599" s="544">
        <v>2.7</v>
      </c>
      <c r="C2599">
        <v>3.14</v>
      </c>
      <c r="D2599">
        <v>3.39</v>
      </c>
      <c r="E2599">
        <v>4.74</v>
      </c>
      <c r="F2599">
        <v>0.85</v>
      </c>
      <c r="G2599">
        <v>1.1499999999999999</v>
      </c>
      <c r="H2599">
        <v>1.38</v>
      </c>
      <c r="I2599">
        <v>1.1499999999999999</v>
      </c>
      <c r="J2599">
        <v>0.05</v>
      </c>
      <c r="K2599">
        <v>0.05</v>
      </c>
    </row>
    <row r="2600" spans="1:11" x14ac:dyDescent="0.35">
      <c r="A2600" s="204">
        <v>42571</v>
      </c>
      <c r="B2600" s="544">
        <v>2.7</v>
      </c>
      <c r="C2600">
        <v>3.14</v>
      </c>
      <c r="D2600">
        <v>3.39</v>
      </c>
      <c r="E2600">
        <v>4.74</v>
      </c>
      <c r="F2600">
        <v>0.85</v>
      </c>
      <c r="G2600">
        <v>1.1499999999999999</v>
      </c>
      <c r="H2600">
        <v>1.38</v>
      </c>
      <c r="I2600">
        <v>1.1499999999999999</v>
      </c>
      <c r="J2600">
        <v>0.05</v>
      </c>
      <c r="K2600">
        <v>0.05</v>
      </c>
    </row>
    <row r="2601" spans="1:11" x14ac:dyDescent="0.35">
      <c r="A2601" s="204">
        <v>42578</v>
      </c>
      <c r="B2601" s="544">
        <v>2.7</v>
      </c>
      <c r="C2601">
        <v>3.14</v>
      </c>
      <c r="D2601">
        <v>3.39</v>
      </c>
      <c r="E2601">
        <v>4.74</v>
      </c>
      <c r="F2601">
        <v>0.85</v>
      </c>
      <c r="G2601">
        <v>1.1499999999999999</v>
      </c>
      <c r="H2601">
        <v>1.38</v>
      </c>
      <c r="I2601">
        <v>1.1499999999999999</v>
      </c>
      <c r="J2601">
        <v>0.05</v>
      </c>
      <c r="K2601">
        <v>0.05</v>
      </c>
    </row>
    <row r="2602" spans="1:11" x14ac:dyDescent="0.35">
      <c r="A2602" s="204">
        <v>42585</v>
      </c>
      <c r="B2602" s="544">
        <v>2.7</v>
      </c>
      <c r="C2602">
        <v>3.14</v>
      </c>
      <c r="D2602">
        <v>3.39</v>
      </c>
      <c r="E2602">
        <v>4.74</v>
      </c>
      <c r="F2602">
        <v>0.85</v>
      </c>
      <c r="G2602">
        <v>1.1499999999999999</v>
      </c>
      <c r="H2602">
        <v>1.38</v>
      </c>
      <c r="I2602">
        <v>1.1499999999999999</v>
      </c>
      <c r="J2602">
        <v>0.05</v>
      </c>
      <c r="K2602">
        <v>0.05</v>
      </c>
    </row>
    <row r="2603" spans="1:11" x14ac:dyDescent="0.35">
      <c r="A2603" s="204">
        <v>42592</v>
      </c>
      <c r="B2603" s="544">
        <v>2.7</v>
      </c>
      <c r="C2603">
        <v>3.14</v>
      </c>
      <c r="D2603">
        <v>3.39</v>
      </c>
      <c r="E2603">
        <v>4.74</v>
      </c>
      <c r="F2603">
        <v>0.85</v>
      </c>
      <c r="G2603">
        <v>1.1499999999999999</v>
      </c>
      <c r="H2603">
        <v>1.38</v>
      </c>
      <c r="I2603">
        <v>1.1499999999999999</v>
      </c>
      <c r="J2603">
        <v>0.05</v>
      </c>
      <c r="K2603">
        <v>0.05</v>
      </c>
    </row>
    <row r="2604" spans="1:11" x14ac:dyDescent="0.35">
      <c r="A2604" s="204">
        <v>42599</v>
      </c>
      <c r="B2604" s="544">
        <v>2.7</v>
      </c>
      <c r="C2604">
        <v>3.14</v>
      </c>
      <c r="D2604">
        <v>3.39</v>
      </c>
      <c r="E2604">
        <v>4.74</v>
      </c>
      <c r="F2604">
        <v>0.85</v>
      </c>
      <c r="G2604">
        <v>1.1499999999999999</v>
      </c>
      <c r="H2604">
        <v>1.38</v>
      </c>
      <c r="I2604">
        <v>1.1499999999999999</v>
      </c>
      <c r="J2604">
        <v>0.05</v>
      </c>
      <c r="K2604">
        <v>0.05</v>
      </c>
    </row>
    <row r="2605" spans="1:11" x14ac:dyDescent="0.35">
      <c r="A2605" s="204">
        <v>42606</v>
      </c>
      <c r="B2605" s="544">
        <v>2.7</v>
      </c>
      <c r="C2605">
        <v>3.14</v>
      </c>
      <c r="D2605">
        <v>3.39</v>
      </c>
      <c r="E2605">
        <v>4.74</v>
      </c>
      <c r="F2605">
        <v>0.85</v>
      </c>
      <c r="G2605">
        <v>1.1499999999999999</v>
      </c>
      <c r="H2605">
        <v>1.38</v>
      </c>
      <c r="I2605">
        <v>1.1499999999999999</v>
      </c>
      <c r="J2605">
        <v>0.05</v>
      </c>
      <c r="K2605">
        <v>0.05</v>
      </c>
    </row>
    <row r="2606" spans="1:11" x14ac:dyDescent="0.35">
      <c r="A2606" s="204">
        <v>42613</v>
      </c>
      <c r="B2606" s="544">
        <v>2.7</v>
      </c>
      <c r="C2606">
        <v>3.14</v>
      </c>
      <c r="D2606">
        <v>3.39</v>
      </c>
      <c r="E2606">
        <v>4.74</v>
      </c>
      <c r="F2606">
        <v>0.85</v>
      </c>
      <c r="G2606">
        <v>1.1499999999999999</v>
      </c>
      <c r="H2606">
        <v>1.38</v>
      </c>
      <c r="I2606">
        <v>1.1499999999999999</v>
      </c>
      <c r="J2606">
        <v>0.05</v>
      </c>
      <c r="K2606">
        <v>0.05</v>
      </c>
    </row>
    <row r="2607" spans="1:11" x14ac:dyDescent="0.35">
      <c r="A2607" s="204">
        <v>42620</v>
      </c>
      <c r="B2607" s="544">
        <v>2.7</v>
      </c>
      <c r="C2607">
        <v>3.14</v>
      </c>
      <c r="D2607">
        <v>3.39</v>
      </c>
      <c r="E2607">
        <v>4.6399999999999997</v>
      </c>
      <c r="F2607">
        <v>0.85</v>
      </c>
      <c r="G2607">
        <v>1.1499999999999999</v>
      </c>
      <c r="H2607">
        <v>1.38</v>
      </c>
      <c r="I2607">
        <v>1.1499999999999999</v>
      </c>
      <c r="J2607">
        <v>0.05</v>
      </c>
      <c r="K2607">
        <v>0.05</v>
      </c>
    </row>
    <row r="2608" spans="1:11" x14ac:dyDescent="0.35">
      <c r="A2608" s="204">
        <v>42627</v>
      </c>
      <c r="B2608" s="544">
        <v>2.7</v>
      </c>
      <c r="C2608">
        <v>3.14</v>
      </c>
      <c r="D2608">
        <v>3.39</v>
      </c>
      <c r="E2608">
        <v>4.6399999999999997</v>
      </c>
      <c r="F2608">
        <v>0.85</v>
      </c>
      <c r="G2608">
        <v>1.1499999999999999</v>
      </c>
      <c r="H2608">
        <v>1.38</v>
      </c>
      <c r="I2608">
        <v>1.1499999999999999</v>
      </c>
      <c r="J2608">
        <v>0.05</v>
      </c>
      <c r="K2608">
        <v>0.05</v>
      </c>
    </row>
    <row r="2609" spans="1:11" x14ac:dyDescent="0.35">
      <c r="A2609" s="204">
        <v>42634</v>
      </c>
      <c r="B2609" s="544">
        <v>2.7</v>
      </c>
      <c r="C2609">
        <v>3.14</v>
      </c>
      <c r="D2609">
        <v>3.39</v>
      </c>
      <c r="E2609">
        <v>4.6399999999999997</v>
      </c>
      <c r="F2609">
        <v>0.85</v>
      </c>
      <c r="G2609">
        <v>1.1499999999999999</v>
      </c>
      <c r="H2609">
        <v>1.38</v>
      </c>
      <c r="I2609">
        <v>1.1499999999999999</v>
      </c>
      <c r="J2609">
        <v>0.05</v>
      </c>
      <c r="K2609">
        <v>0.05</v>
      </c>
    </row>
    <row r="2610" spans="1:11" x14ac:dyDescent="0.35">
      <c r="A2610" s="204">
        <v>42641</v>
      </c>
      <c r="B2610" s="544">
        <v>2.7</v>
      </c>
      <c r="C2610">
        <v>3.14</v>
      </c>
      <c r="D2610">
        <v>3.39</v>
      </c>
      <c r="E2610">
        <v>4.6399999999999997</v>
      </c>
      <c r="F2610">
        <v>0.85</v>
      </c>
      <c r="G2610">
        <v>1.1499999999999999</v>
      </c>
      <c r="H2610">
        <v>1.38</v>
      </c>
      <c r="I2610">
        <v>1.1499999999999999</v>
      </c>
      <c r="J2610">
        <v>0.05</v>
      </c>
      <c r="K2610">
        <v>0.05</v>
      </c>
    </row>
    <row r="2611" spans="1:11" x14ac:dyDescent="0.35">
      <c r="A2611" s="204">
        <v>42648</v>
      </c>
      <c r="B2611" s="544">
        <v>2.7</v>
      </c>
      <c r="C2611">
        <v>3.14</v>
      </c>
      <c r="D2611">
        <v>3.39</v>
      </c>
      <c r="E2611">
        <v>4.6399999999999997</v>
      </c>
      <c r="F2611">
        <v>0.85</v>
      </c>
      <c r="G2611">
        <v>1.1499999999999999</v>
      </c>
      <c r="H2611">
        <v>1.45</v>
      </c>
      <c r="I2611">
        <v>1.1499999999999999</v>
      </c>
      <c r="J2611">
        <v>0.05</v>
      </c>
      <c r="K2611">
        <v>0.05</v>
      </c>
    </row>
    <row r="2612" spans="1:11" x14ac:dyDescent="0.35">
      <c r="A2612" s="204">
        <v>42655</v>
      </c>
      <c r="B2612" s="544">
        <v>2.7</v>
      </c>
      <c r="C2612">
        <v>3.14</v>
      </c>
      <c r="D2612">
        <v>3.39</v>
      </c>
      <c r="E2612">
        <v>4.6399999999999997</v>
      </c>
      <c r="F2612">
        <v>0.73</v>
      </c>
      <c r="G2612">
        <v>1.1499999999999999</v>
      </c>
      <c r="H2612">
        <v>1.45</v>
      </c>
      <c r="I2612">
        <v>1.1499999999999999</v>
      </c>
      <c r="J2612">
        <v>0.05</v>
      </c>
      <c r="K2612">
        <v>0.05</v>
      </c>
    </row>
    <row r="2613" spans="1:11" x14ac:dyDescent="0.35">
      <c r="A2613" s="204">
        <v>42662</v>
      </c>
      <c r="B2613" s="544">
        <v>2.7</v>
      </c>
      <c r="C2613">
        <v>3.14</v>
      </c>
      <c r="D2613">
        <v>3.39</v>
      </c>
      <c r="E2613">
        <v>4.6399999999999997</v>
      </c>
      <c r="F2613">
        <v>0.73</v>
      </c>
      <c r="G2613">
        <v>1.1499999999999999</v>
      </c>
      <c r="H2613">
        <v>1.45</v>
      </c>
      <c r="I2613">
        <v>1.1499999999999999</v>
      </c>
      <c r="J2613">
        <v>0.05</v>
      </c>
      <c r="K2613">
        <v>0.05</v>
      </c>
    </row>
    <row r="2614" spans="1:11" x14ac:dyDescent="0.35">
      <c r="A2614" s="204">
        <v>42669</v>
      </c>
      <c r="B2614" s="544">
        <v>2.7</v>
      </c>
      <c r="C2614">
        <v>3.14</v>
      </c>
      <c r="D2614">
        <v>3.39</v>
      </c>
      <c r="E2614">
        <v>4.6399999999999997</v>
      </c>
      <c r="F2614">
        <v>0.73</v>
      </c>
      <c r="G2614">
        <v>1.1499999999999999</v>
      </c>
      <c r="H2614">
        <v>1.45</v>
      </c>
      <c r="I2614">
        <v>1.1499999999999999</v>
      </c>
      <c r="J2614">
        <v>0.05</v>
      </c>
      <c r="K2614">
        <v>0.05</v>
      </c>
    </row>
    <row r="2615" spans="1:11" x14ac:dyDescent="0.35">
      <c r="A2615" s="204">
        <v>42676</v>
      </c>
      <c r="B2615" s="544">
        <v>2.7</v>
      </c>
      <c r="C2615">
        <v>3.14</v>
      </c>
      <c r="D2615">
        <v>3.39</v>
      </c>
      <c r="E2615">
        <v>4.6399999999999997</v>
      </c>
      <c r="F2615">
        <v>0.73</v>
      </c>
      <c r="G2615">
        <v>1.1499999999999999</v>
      </c>
      <c r="H2615">
        <v>1.45</v>
      </c>
      <c r="I2615">
        <v>1.1499999999999999</v>
      </c>
      <c r="J2615">
        <v>0.05</v>
      </c>
      <c r="K2615">
        <v>0.05</v>
      </c>
    </row>
    <row r="2616" spans="1:11" x14ac:dyDescent="0.35">
      <c r="A2616" s="204">
        <v>42683</v>
      </c>
      <c r="B2616" s="544">
        <v>2.7</v>
      </c>
      <c r="C2616">
        <v>3.14</v>
      </c>
      <c r="D2616">
        <v>3.39</v>
      </c>
      <c r="E2616">
        <v>4.6399999999999997</v>
      </c>
      <c r="F2616">
        <v>0.73</v>
      </c>
      <c r="G2616">
        <v>1.1499999999999999</v>
      </c>
      <c r="H2616">
        <v>1.45</v>
      </c>
      <c r="I2616">
        <v>1.1499999999999999</v>
      </c>
      <c r="J2616">
        <v>0.05</v>
      </c>
      <c r="K2616">
        <v>0.05</v>
      </c>
    </row>
    <row r="2617" spans="1:11" x14ac:dyDescent="0.35">
      <c r="A2617" s="204">
        <v>42690</v>
      </c>
      <c r="B2617" s="544">
        <v>2.7</v>
      </c>
      <c r="C2617">
        <v>3.14</v>
      </c>
      <c r="D2617">
        <v>3.39</v>
      </c>
      <c r="E2617">
        <v>4.6399999999999997</v>
      </c>
      <c r="F2617">
        <v>0.73</v>
      </c>
      <c r="G2617">
        <v>1.1499999999999999</v>
      </c>
      <c r="H2617">
        <v>1.45</v>
      </c>
      <c r="I2617">
        <v>1.1499999999999999</v>
      </c>
      <c r="J2617">
        <v>0.05</v>
      </c>
      <c r="K2617">
        <v>0.05</v>
      </c>
    </row>
    <row r="2618" spans="1:11" x14ac:dyDescent="0.35">
      <c r="A2618" s="204">
        <v>42697</v>
      </c>
      <c r="B2618" s="544">
        <v>2.7</v>
      </c>
      <c r="C2618">
        <v>3.14</v>
      </c>
      <c r="D2618">
        <v>3.39</v>
      </c>
      <c r="E2618">
        <v>4.6399999999999997</v>
      </c>
      <c r="F2618">
        <v>0.73</v>
      </c>
      <c r="G2618">
        <v>1.1499999999999999</v>
      </c>
      <c r="H2618">
        <v>1.45</v>
      </c>
      <c r="I2618">
        <v>1.1499999999999999</v>
      </c>
      <c r="J2618">
        <v>0.05</v>
      </c>
      <c r="K2618">
        <v>0.05</v>
      </c>
    </row>
    <row r="2619" spans="1:11" x14ac:dyDescent="0.35">
      <c r="A2619" s="204">
        <v>42704</v>
      </c>
      <c r="B2619" s="544">
        <v>2.7</v>
      </c>
      <c r="C2619">
        <v>3.14</v>
      </c>
      <c r="D2619">
        <v>3.39</v>
      </c>
      <c r="E2619">
        <v>4.6399999999999997</v>
      </c>
      <c r="F2619">
        <v>0.73</v>
      </c>
      <c r="G2619">
        <v>1.1499999999999999</v>
      </c>
      <c r="H2619">
        <v>1.45</v>
      </c>
      <c r="I2619">
        <v>1.1499999999999999</v>
      </c>
      <c r="J2619">
        <v>0.05</v>
      </c>
      <c r="K2619">
        <v>0.05</v>
      </c>
    </row>
    <row r="2620" spans="1:11" x14ac:dyDescent="0.35">
      <c r="A2620" s="204">
        <v>42711</v>
      </c>
      <c r="B2620" s="544">
        <v>2.7</v>
      </c>
      <c r="C2620">
        <v>3.14</v>
      </c>
      <c r="D2620">
        <v>3.39</v>
      </c>
      <c r="E2620">
        <v>4.6399999999999997</v>
      </c>
      <c r="F2620">
        <v>0.73</v>
      </c>
      <c r="G2620">
        <v>1.1499999999999999</v>
      </c>
      <c r="H2620">
        <v>1.45</v>
      </c>
      <c r="I2620">
        <v>1.1499999999999999</v>
      </c>
      <c r="J2620">
        <v>0.05</v>
      </c>
      <c r="K2620">
        <v>0.05</v>
      </c>
    </row>
    <row r="2621" spans="1:11" x14ac:dyDescent="0.35">
      <c r="A2621" s="204">
        <v>42718</v>
      </c>
      <c r="B2621" s="544">
        <v>2.7</v>
      </c>
      <c r="C2621">
        <v>3.14</v>
      </c>
      <c r="D2621">
        <v>3.39</v>
      </c>
      <c r="E2621">
        <v>4.6399999999999997</v>
      </c>
      <c r="F2621">
        <v>0.73</v>
      </c>
      <c r="G2621">
        <v>1.1499999999999999</v>
      </c>
      <c r="H2621">
        <v>1.45</v>
      </c>
      <c r="I2621">
        <v>1.1499999999999999</v>
      </c>
      <c r="J2621">
        <v>0.05</v>
      </c>
      <c r="K2621">
        <v>0.05</v>
      </c>
    </row>
    <row r="2622" spans="1:11" x14ac:dyDescent="0.35">
      <c r="A2622" s="204">
        <v>42725</v>
      </c>
      <c r="B2622" s="544">
        <v>2.7</v>
      </c>
      <c r="C2622">
        <v>3.14</v>
      </c>
      <c r="D2622">
        <v>3.39</v>
      </c>
      <c r="E2622">
        <v>4.6399999999999997</v>
      </c>
      <c r="F2622">
        <v>0.73</v>
      </c>
      <c r="G2622">
        <v>1.1499999999999999</v>
      </c>
      <c r="H2622">
        <v>1.45</v>
      </c>
      <c r="I2622">
        <v>1.1499999999999999</v>
      </c>
      <c r="J2622">
        <v>0.05</v>
      </c>
      <c r="K2622">
        <v>0.05</v>
      </c>
    </row>
    <row r="2623" spans="1:11" x14ac:dyDescent="0.35">
      <c r="A2623" s="204">
        <v>42732</v>
      </c>
      <c r="B2623" s="544">
        <v>2.7</v>
      </c>
      <c r="C2623">
        <v>3.14</v>
      </c>
      <c r="D2623">
        <v>3.39</v>
      </c>
      <c r="E2623">
        <v>4.6399999999999997</v>
      </c>
      <c r="F2623">
        <v>0.73</v>
      </c>
      <c r="G2623">
        <v>1.1499999999999999</v>
      </c>
      <c r="H2623">
        <v>1.45</v>
      </c>
      <c r="I2623">
        <v>1.1499999999999999</v>
      </c>
      <c r="J2623">
        <v>0.05</v>
      </c>
      <c r="K2623">
        <v>0.05</v>
      </c>
    </row>
    <row r="2624" spans="1:11" x14ac:dyDescent="0.35">
      <c r="A2624" s="204">
        <v>42739</v>
      </c>
      <c r="B2624" s="544">
        <v>2.7</v>
      </c>
      <c r="C2624">
        <v>3.14</v>
      </c>
      <c r="D2624">
        <v>3.39</v>
      </c>
      <c r="E2624">
        <v>4.6399999999999997</v>
      </c>
      <c r="F2624">
        <v>0.73</v>
      </c>
      <c r="G2624">
        <v>1.1499999999999999</v>
      </c>
      <c r="H2624">
        <v>1.45</v>
      </c>
      <c r="I2624">
        <v>1.1499999999999999</v>
      </c>
      <c r="J2624">
        <v>0.05</v>
      </c>
      <c r="K2624">
        <v>0.05</v>
      </c>
    </row>
    <row r="2625" spans="1:11" x14ac:dyDescent="0.35">
      <c r="A2625" s="204">
        <v>42746</v>
      </c>
      <c r="B2625" s="544">
        <v>2.7</v>
      </c>
      <c r="C2625">
        <v>3.14</v>
      </c>
      <c r="D2625">
        <v>3.39</v>
      </c>
      <c r="E2625">
        <v>4.6399999999999997</v>
      </c>
      <c r="F2625">
        <v>0.73</v>
      </c>
      <c r="G2625">
        <v>1.1499999999999999</v>
      </c>
      <c r="H2625">
        <v>1.45</v>
      </c>
      <c r="I2625">
        <v>1.1499999999999999</v>
      </c>
      <c r="J2625">
        <v>0.05</v>
      </c>
      <c r="K2625">
        <v>0.05</v>
      </c>
    </row>
    <row r="2626" spans="1:11" x14ac:dyDescent="0.35">
      <c r="A2626" s="204">
        <v>42753</v>
      </c>
      <c r="B2626" s="544">
        <v>2.7</v>
      </c>
      <c r="C2626">
        <v>3.14</v>
      </c>
      <c r="D2626">
        <v>3.39</v>
      </c>
      <c r="E2626">
        <v>4.6399999999999997</v>
      </c>
      <c r="F2626">
        <v>0.73</v>
      </c>
      <c r="G2626">
        <v>1.1499999999999999</v>
      </c>
      <c r="H2626">
        <v>1.45</v>
      </c>
      <c r="I2626">
        <v>1.1499999999999999</v>
      </c>
      <c r="J2626">
        <v>0.05</v>
      </c>
      <c r="K2626">
        <v>0.05</v>
      </c>
    </row>
    <row r="2627" spans="1:11" x14ac:dyDescent="0.35">
      <c r="A2627" s="204">
        <v>42760</v>
      </c>
      <c r="B2627" s="544">
        <v>2.7</v>
      </c>
      <c r="C2627">
        <v>3.14</v>
      </c>
      <c r="D2627">
        <v>3.39</v>
      </c>
      <c r="E2627">
        <v>4.6399999999999997</v>
      </c>
      <c r="F2627">
        <v>0.73</v>
      </c>
      <c r="G2627">
        <v>1.1499999999999999</v>
      </c>
      <c r="H2627">
        <v>1.45</v>
      </c>
      <c r="I2627">
        <v>1.1499999999999999</v>
      </c>
      <c r="J2627">
        <v>0.05</v>
      </c>
      <c r="K2627">
        <v>0.05</v>
      </c>
    </row>
    <row r="2628" spans="1:11" x14ac:dyDescent="0.35">
      <c r="A2628" s="204">
        <v>42767</v>
      </c>
      <c r="B2628" s="544">
        <v>2.7</v>
      </c>
      <c r="C2628">
        <v>3.14</v>
      </c>
      <c r="D2628">
        <v>3.39</v>
      </c>
      <c r="E2628">
        <v>4.6399999999999997</v>
      </c>
      <c r="F2628">
        <v>0.73</v>
      </c>
      <c r="G2628">
        <v>1.1499999999999999</v>
      </c>
      <c r="H2628">
        <v>1.45</v>
      </c>
      <c r="I2628">
        <v>1.1499999999999999</v>
      </c>
      <c r="J2628">
        <v>0.05</v>
      </c>
      <c r="K2628">
        <v>0.05</v>
      </c>
    </row>
    <row r="2629" spans="1:11" x14ac:dyDescent="0.35">
      <c r="A2629" s="204">
        <v>42774</v>
      </c>
      <c r="B2629" s="544">
        <v>2.7</v>
      </c>
      <c r="C2629">
        <v>3.14</v>
      </c>
      <c r="D2629">
        <v>3.39</v>
      </c>
      <c r="E2629">
        <v>4.6399999999999997</v>
      </c>
      <c r="F2629">
        <v>0.73</v>
      </c>
      <c r="G2629">
        <v>1.1499999999999999</v>
      </c>
      <c r="H2629">
        <v>1.45</v>
      </c>
      <c r="I2629">
        <v>1.1499999999999999</v>
      </c>
      <c r="J2629">
        <v>0.05</v>
      </c>
      <c r="K2629">
        <v>0.05</v>
      </c>
    </row>
    <row r="2630" spans="1:11" x14ac:dyDescent="0.35">
      <c r="A2630" s="204">
        <v>42781</v>
      </c>
      <c r="B2630" s="544">
        <v>2.7</v>
      </c>
      <c r="C2630">
        <v>3.14</v>
      </c>
      <c r="D2630">
        <v>3.39</v>
      </c>
      <c r="E2630">
        <v>4.6399999999999997</v>
      </c>
      <c r="F2630">
        <v>0.73</v>
      </c>
      <c r="G2630">
        <v>1.1499999999999999</v>
      </c>
      <c r="H2630">
        <v>1.45</v>
      </c>
      <c r="I2630">
        <v>0.95</v>
      </c>
      <c r="J2630">
        <v>0.05</v>
      </c>
      <c r="K2630">
        <v>0.05</v>
      </c>
    </row>
    <row r="2631" spans="1:11" x14ac:dyDescent="0.35">
      <c r="A2631" s="204">
        <v>42788</v>
      </c>
      <c r="B2631" s="544">
        <v>2.7</v>
      </c>
      <c r="C2631">
        <v>3.14</v>
      </c>
      <c r="D2631">
        <v>3.39</v>
      </c>
      <c r="E2631">
        <v>4.6399999999999997</v>
      </c>
      <c r="F2631">
        <v>0.73</v>
      </c>
      <c r="G2631">
        <v>1</v>
      </c>
      <c r="H2631">
        <v>1.1299999999999999</v>
      </c>
      <c r="I2631">
        <v>0.95</v>
      </c>
      <c r="J2631">
        <v>0.05</v>
      </c>
      <c r="K2631">
        <v>0.05</v>
      </c>
    </row>
    <row r="2632" spans="1:11" x14ac:dyDescent="0.35">
      <c r="A2632" s="204">
        <v>42795</v>
      </c>
      <c r="B2632" s="544">
        <v>2.7</v>
      </c>
      <c r="C2632">
        <v>3.14</v>
      </c>
      <c r="D2632">
        <v>3.39</v>
      </c>
      <c r="E2632">
        <v>4.6399999999999997</v>
      </c>
      <c r="F2632">
        <v>0.73</v>
      </c>
      <c r="G2632">
        <v>1</v>
      </c>
      <c r="H2632">
        <v>1.1299999999999999</v>
      </c>
      <c r="I2632">
        <v>0.95</v>
      </c>
      <c r="J2632">
        <v>0.05</v>
      </c>
      <c r="K2632">
        <v>0.05</v>
      </c>
    </row>
    <row r="2633" spans="1:11" x14ac:dyDescent="0.35">
      <c r="A2633" s="204">
        <v>42802</v>
      </c>
      <c r="B2633" s="544">
        <v>2.7</v>
      </c>
      <c r="C2633">
        <v>3.14</v>
      </c>
      <c r="D2633">
        <v>3.39</v>
      </c>
      <c r="E2633">
        <v>4.6399999999999997</v>
      </c>
      <c r="F2633">
        <v>0.73</v>
      </c>
      <c r="G2633">
        <v>1</v>
      </c>
      <c r="H2633">
        <v>1.1299999999999999</v>
      </c>
      <c r="I2633">
        <v>0.95</v>
      </c>
      <c r="J2633">
        <v>0.05</v>
      </c>
      <c r="K2633">
        <v>0.05</v>
      </c>
    </row>
    <row r="2634" spans="1:11" x14ac:dyDescent="0.35">
      <c r="A2634" s="204">
        <v>42809</v>
      </c>
      <c r="B2634" s="544">
        <v>2.7</v>
      </c>
      <c r="C2634">
        <v>3.14</v>
      </c>
      <c r="D2634">
        <v>3.39</v>
      </c>
      <c r="E2634">
        <v>4.6399999999999997</v>
      </c>
      <c r="F2634">
        <v>0.73</v>
      </c>
      <c r="G2634">
        <v>1</v>
      </c>
      <c r="H2634">
        <v>1.1299999999999999</v>
      </c>
      <c r="I2634">
        <v>0.95</v>
      </c>
      <c r="J2634">
        <v>0.05</v>
      </c>
      <c r="K2634">
        <v>0.05</v>
      </c>
    </row>
    <row r="2635" spans="1:11" x14ac:dyDescent="0.35">
      <c r="A2635" s="204">
        <v>42816</v>
      </c>
      <c r="B2635" s="544">
        <v>2.7</v>
      </c>
      <c r="C2635">
        <v>3.14</v>
      </c>
      <c r="D2635">
        <v>3.39</v>
      </c>
      <c r="E2635">
        <v>4.6399999999999997</v>
      </c>
      <c r="F2635">
        <v>0.73</v>
      </c>
      <c r="G2635">
        <v>1</v>
      </c>
      <c r="H2635">
        <v>1.1299999999999999</v>
      </c>
      <c r="I2635">
        <v>0.95</v>
      </c>
      <c r="J2635">
        <v>0.05</v>
      </c>
      <c r="K2635">
        <v>0.05</v>
      </c>
    </row>
    <row r="2636" spans="1:11" x14ac:dyDescent="0.35">
      <c r="A2636" s="204">
        <v>42823</v>
      </c>
      <c r="B2636" s="544">
        <v>2.7</v>
      </c>
      <c r="C2636">
        <v>3.14</v>
      </c>
      <c r="D2636">
        <v>3.39</v>
      </c>
      <c r="E2636">
        <v>4.6399999999999997</v>
      </c>
      <c r="F2636">
        <v>0.73</v>
      </c>
      <c r="G2636">
        <v>1</v>
      </c>
      <c r="H2636">
        <v>1.1299999999999999</v>
      </c>
      <c r="I2636">
        <v>0.95</v>
      </c>
      <c r="J2636">
        <v>0.05</v>
      </c>
      <c r="K2636">
        <v>0.05</v>
      </c>
    </row>
    <row r="2637" spans="1:11" x14ac:dyDescent="0.35">
      <c r="A2637" s="204">
        <v>42830</v>
      </c>
      <c r="B2637" s="544">
        <v>2.7</v>
      </c>
      <c r="C2637">
        <v>3.14</v>
      </c>
      <c r="D2637">
        <v>3.39</v>
      </c>
      <c r="E2637">
        <v>4.6399999999999997</v>
      </c>
      <c r="F2637">
        <v>0.73</v>
      </c>
      <c r="G2637">
        <v>1</v>
      </c>
      <c r="H2637">
        <v>1.1299999999999999</v>
      </c>
      <c r="I2637">
        <v>0.95</v>
      </c>
      <c r="J2637">
        <v>0.05</v>
      </c>
      <c r="K2637">
        <v>0.05</v>
      </c>
    </row>
    <row r="2638" spans="1:11" x14ac:dyDescent="0.35">
      <c r="A2638" s="204">
        <v>42837</v>
      </c>
      <c r="B2638" s="544">
        <v>2.7</v>
      </c>
      <c r="C2638">
        <v>3.14</v>
      </c>
      <c r="D2638">
        <v>3.39</v>
      </c>
      <c r="E2638">
        <v>4.6399999999999997</v>
      </c>
      <c r="F2638">
        <v>0.73</v>
      </c>
      <c r="G2638">
        <v>1</v>
      </c>
      <c r="H2638">
        <v>1.1299999999999999</v>
      </c>
      <c r="I2638">
        <v>0.95</v>
      </c>
      <c r="J2638">
        <v>0.05</v>
      </c>
      <c r="K2638">
        <v>0.05</v>
      </c>
    </row>
    <row r="2639" spans="1:11" x14ac:dyDescent="0.35">
      <c r="A2639" s="204">
        <v>42844</v>
      </c>
      <c r="B2639" s="544">
        <v>2.7</v>
      </c>
      <c r="C2639">
        <v>3.14</v>
      </c>
      <c r="D2639">
        <v>3.39</v>
      </c>
      <c r="E2639">
        <v>4.6399999999999997</v>
      </c>
      <c r="F2639">
        <v>0.73</v>
      </c>
      <c r="G2639">
        <v>1</v>
      </c>
      <c r="H2639">
        <v>1.1299999999999999</v>
      </c>
      <c r="I2639">
        <v>0.95</v>
      </c>
      <c r="J2639">
        <v>0.05</v>
      </c>
      <c r="K2639">
        <v>0.05</v>
      </c>
    </row>
    <row r="2640" spans="1:11" x14ac:dyDescent="0.35">
      <c r="A2640" s="204">
        <v>42851</v>
      </c>
      <c r="B2640" s="544">
        <v>2.7</v>
      </c>
      <c r="C2640">
        <v>3.14</v>
      </c>
      <c r="D2640">
        <v>3.39</v>
      </c>
      <c r="E2640">
        <v>4.6399999999999997</v>
      </c>
      <c r="F2640">
        <v>0.73</v>
      </c>
      <c r="G2640">
        <v>1</v>
      </c>
      <c r="H2640">
        <v>1.1299999999999999</v>
      </c>
      <c r="I2640">
        <v>0.95</v>
      </c>
      <c r="J2640">
        <v>0.05</v>
      </c>
      <c r="K2640">
        <v>0.05</v>
      </c>
    </row>
    <row r="2641" spans="1:11" x14ac:dyDescent="0.35">
      <c r="A2641" s="204">
        <v>42858</v>
      </c>
      <c r="B2641" s="544">
        <v>2.7</v>
      </c>
      <c r="C2641">
        <v>3.14</v>
      </c>
      <c r="D2641">
        <v>3.39</v>
      </c>
      <c r="E2641">
        <v>4.6399999999999997</v>
      </c>
      <c r="F2641">
        <v>0.73</v>
      </c>
      <c r="G2641">
        <v>1.03</v>
      </c>
      <c r="H2641">
        <v>1.1299999999999999</v>
      </c>
      <c r="I2641">
        <v>0.95</v>
      </c>
      <c r="J2641">
        <v>0.05</v>
      </c>
      <c r="K2641">
        <v>0.05</v>
      </c>
    </row>
    <row r="2642" spans="1:11" x14ac:dyDescent="0.35">
      <c r="A2642" s="204">
        <v>42865</v>
      </c>
      <c r="B2642" s="544">
        <v>2.7</v>
      </c>
      <c r="C2642">
        <v>3.14</v>
      </c>
      <c r="D2642">
        <v>3.39</v>
      </c>
      <c r="E2642">
        <v>4.6399999999999997</v>
      </c>
      <c r="F2642">
        <v>0.73</v>
      </c>
      <c r="G2642">
        <v>1.03</v>
      </c>
      <c r="H2642">
        <v>1.1299999999999999</v>
      </c>
      <c r="I2642">
        <v>0.95</v>
      </c>
      <c r="J2642">
        <v>0.05</v>
      </c>
      <c r="K2642">
        <v>0.05</v>
      </c>
    </row>
    <row r="2643" spans="1:11" x14ac:dyDescent="0.35">
      <c r="A2643" s="204">
        <v>42872</v>
      </c>
      <c r="B2643" s="544">
        <v>2.7</v>
      </c>
      <c r="C2643">
        <v>3.14</v>
      </c>
      <c r="D2643">
        <v>3.39</v>
      </c>
      <c r="E2643">
        <v>4.6399999999999997</v>
      </c>
      <c r="F2643">
        <v>0.73</v>
      </c>
      <c r="G2643">
        <v>1.03</v>
      </c>
      <c r="H2643">
        <v>1.1299999999999999</v>
      </c>
      <c r="I2643">
        <v>0.95</v>
      </c>
      <c r="J2643">
        <v>0.05</v>
      </c>
      <c r="K2643">
        <v>0.05</v>
      </c>
    </row>
    <row r="2644" spans="1:11" x14ac:dyDescent="0.35">
      <c r="A2644" s="204">
        <v>42879</v>
      </c>
      <c r="B2644" s="544">
        <v>2.7</v>
      </c>
      <c r="C2644">
        <v>3.14</v>
      </c>
      <c r="D2644">
        <v>3.39</v>
      </c>
      <c r="E2644">
        <v>4.6399999999999997</v>
      </c>
      <c r="F2644">
        <v>0.73</v>
      </c>
      <c r="G2644">
        <v>1.03</v>
      </c>
      <c r="H2644">
        <v>1.1299999999999999</v>
      </c>
      <c r="I2644">
        <v>0.95</v>
      </c>
      <c r="J2644">
        <v>0.05</v>
      </c>
      <c r="K2644">
        <v>0.05</v>
      </c>
    </row>
    <row r="2645" spans="1:11" x14ac:dyDescent="0.35">
      <c r="A2645" s="204">
        <v>42886</v>
      </c>
      <c r="B2645" s="544">
        <v>2.7</v>
      </c>
      <c r="C2645">
        <v>3.14</v>
      </c>
      <c r="D2645">
        <v>3.39</v>
      </c>
      <c r="E2645">
        <v>4.6399999999999997</v>
      </c>
      <c r="F2645">
        <v>0.73</v>
      </c>
      <c r="G2645">
        <v>1.03</v>
      </c>
      <c r="H2645">
        <v>1.1299999999999999</v>
      </c>
      <c r="I2645">
        <v>0.95</v>
      </c>
      <c r="J2645">
        <v>0.05</v>
      </c>
      <c r="K2645">
        <v>0.05</v>
      </c>
    </row>
    <row r="2646" spans="1:11" x14ac:dyDescent="0.35">
      <c r="A2646" s="204">
        <v>42893</v>
      </c>
      <c r="B2646" s="544">
        <v>2.7</v>
      </c>
      <c r="C2646">
        <v>3.14</v>
      </c>
      <c r="D2646">
        <v>3.39</v>
      </c>
      <c r="E2646">
        <v>4.6399999999999997</v>
      </c>
      <c r="F2646">
        <v>0.73</v>
      </c>
      <c r="G2646">
        <v>1.03</v>
      </c>
      <c r="H2646">
        <v>1.1299999999999999</v>
      </c>
      <c r="I2646">
        <v>0.95</v>
      </c>
      <c r="J2646">
        <v>0.05</v>
      </c>
      <c r="K2646">
        <v>0.05</v>
      </c>
    </row>
    <row r="2647" spans="1:11" x14ac:dyDescent="0.35">
      <c r="A2647" s="204">
        <v>42900</v>
      </c>
      <c r="B2647" s="544">
        <v>2.7</v>
      </c>
      <c r="C2647">
        <v>3.14</v>
      </c>
      <c r="D2647">
        <v>3.39</v>
      </c>
      <c r="E2647">
        <v>4.6399999999999997</v>
      </c>
      <c r="F2647">
        <v>0.73</v>
      </c>
      <c r="G2647">
        <v>1.03</v>
      </c>
      <c r="H2647">
        <v>1.1299999999999999</v>
      </c>
      <c r="I2647">
        <v>0.95</v>
      </c>
      <c r="J2647">
        <v>0.05</v>
      </c>
      <c r="K2647">
        <v>0.05</v>
      </c>
    </row>
    <row r="2648" spans="1:11" x14ac:dyDescent="0.35">
      <c r="A2648" s="204">
        <v>42907</v>
      </c>
      <c r="B2648" s="544">
        <v>2.7</v>
      </c>
      <c r="C2648">
        <v>3.14</v>
      </c>
      <c r="D2648">
        <v>3.39</v>
      </c>
      <c r="E2648">
        <v>4.6399999999999997</v>
      </c>
      <c r="F2648">
        <v>0.73</v>
      </c>
      <c r="G2648">
        <v>1.03</v>
      </c>
      <c r="H2648">
        <v>1.1299999999999999</v>
      </c>
      <c r="I2648">
        <v>0.95</v>
      </c>
      <c r="J2648">
        <v>0.05</v>
      </c>
      <c r="K2648">
        <v>0.05</v>
      </c>
    </row>
    <row r="2649" spans="1:11" x14ac:dyDescent="0.35">
      <c r="A2649" s="204">
        <v>42914</v>
      </c>
      <c r="B2649" s="544">
        <v>2.7</v>
      </c>
      <c r="C2649">
        <v>3.14</v>
      </c>
      <c r="D2649">
        <v>3.39</v>
      </c>
      <c r="E2649">
        <v>4.6399999999999997</v>
      </c>
      <c r="F2649">
        <v>0.73</v>
      </c>
      <c r="G2649">
        <v>1.03</v>
      </c>
      <c r="H2649">
        <v>1.1299999999999999</v>
      </c>
      <c r="I2649">
        <v>0.95</v>
      </c>
      <c r="J2649">
        <v>0.05</v>
      </c>
      <c r="K2649">
        <v>0.05</v>
      </c>
    </row>
    <row r="2650" spans="1:11" x14ac:dyDescent="0.35">
      <c r="A2650" s="204">
        <v>42921</v>
      </c>
      <c r="B2650" s="544">
        <v>2.7</v>
      </c>
      <c r="C2650">
        <v>3.14</v>
      </c>
      <c r="D2650">
        <v>3.39</v>
      </c>
      <c r="E2650">
        <v>4.6399999999999997</v>
      </c>
      <c r="F2650">
        <v>0.73</v>
      </c>
      <c r="G2650">
        <v>1.03</v>
      </c>
      <c r="H2650">
        <v>1.1299999999999999</v>
      </c>
      <c r="I2650">
        <v>0.95</v>
      </c>
      <c r="J2650">
        <v>0.05</v>
      </c>
      <c r="K2650">
        <v>0.05</v>
      </c>
    </row>
    <row r="2651" spans="1:11" x14ac:dyDescent="0.35">
      <c r="A2651" s="204">
        <v>42928</v>
      </c>
      <c r="B2651" s="544">
        <v>2.7</v>
      </c>
      <c r="C2651">
        <v>3.14</v>
      </c>
      <c r="D2651">
        <v>3.39</v>
      </c>
      <c r="E2651">
        <v>4.6399999999999997</v>
      </c>
      <c r="F2651">
        <v>0.73</v>
      </c>
      <c r="G2651">
        <v>1.03</v>
      </c>
      <c r="H2651">
        <v>1.1299999999999999</v>
      </c>
      <c r="I2651">
        <v>0.95</v>
      </c>
      <c r="J2651">
        <v>0.05</v>
      </c>
      <c r="K2651">
        <v>0.05</v>
      </c>
    </row>
    <row r="2652" spans="1:11" x14ac:dyDescent="0.35">
      <c r="A2652" s="204">
        <v>42935</v>
      </c>
      <c r="B2652" s="544">
        <v>2.95</v>
      </c>
      <c r="C2652">
        <v>3.14</v>
      </c>
      <c r="D2652">
        <v>3.39</v>
      </c>
      <c r="E2652">
        <v>4.84</v>
      </c>
      <c r="F2652">
        <v>0.73</v>
      </c>
      <c r="G2652">
        <v>1.03</v>
      </c>
      <c r="H2652">
        <v>1.1299999999999999</v>
      </c>
      <c r="I2652">
        <v>0.95</v>
      </c>
      <c r="J2652">
        <v>0.05</v>
      </c>
      <c r="K2652">
        <v>0.05</v>
      </c>
    </row>
    <row r="2653" spans="1:11" x14ac:dyDescent="0.35">
      <c r="A2653" s="204">
        <v>42942</v>
      </c>
      <c r="B2653" s="544">
        <v>2.95</v>
      </c>
      <c r="C2653">
        <v>3.14</v>
      </c>
      <c r="D2653">
        <v>3.39</v>
      </c>
      <c r="E2653">
        <v>4.84</v>
      </c>
      <c r="F2653">
        <v>0.73</v>
      </c>
      <c r="G2653">
        <v>1.35</v>
      </c>
      <c r="H2653">
        <v>1.6</v>
      </c>
      <c r="I2653">
        <v>0.95</v>
      </c>
      <c r="J2653">
        <v>0.05</v>
      </c>
      <c r="K2653">
        <v>0.05</v>
      </c>
    </row>
    <row r="2654" spans="1:11" x14ac:dyDescent="0.35">
      <c r="A2654" s="204">
        <v>42949</v>
      </c>
      <c r="B2654" s="544">
        <v>2.95</v>
      </c>
      <c r="C2654">
        <v>3.14</v>
      </c>
      <c r="D2654">
        <v>3.39</v>
      </c>
      <c r="E2654">
        <v>4.84</v>
      </c>
      <c r="F2654">
        <v>0.73</v>
      </c>
      <c r="G2654">
        <v>1.35</v>
      </c>
      <c r="H2654">
        <v>1.6</v>
      </c>
      <c r="I2654">
        <v>1.05</v>
      </c>
      <c r="J2654">
        <v>0.05</v>
      </c>
      <c r="K2654">
        <v>0.05</v>
      </c>
    </row>
    <row r="2655" spans="1:11" x14ac:dyDescent="0.35">
      <c r="A2655" s="204">
        <v>42956</v>
      </c>
      <c r="B2655" s="544">
        <v>2.95</v>
      </c>
      <c r="C2655">
        <v>3.14</v>
      </c>
      <c r="D2655">
        <v>3.39</v>
      </c>
      <c r="E2655">
        <v>4.84</v>
      </c>
      <c r="F2655">
        <v>0.73</v>
      </c>
      <c r="G2655">
        <v>1.35</v>
      </c>
      <c r="H2655">
        <v>1.6</v>
      </c>
      <c r="I2655">
        <v>1.05</v>
      </c>
      <c r="J2655">
        <v>0.05</v>
      </c>
      <c r="K2655">
        <v>0.05</v>
      </c>
    </row>
    <row r="2656" spans="1:11" x14ac:dyDescent="0.35">
      <c r="A2656" s="204">
        <v>42963</v>
      </c>
      <c r="B2656" s="544">
        <v>2.95</v>
      </c>
      <c r="C2656">
        <v>3.14</v>
      </c>
      <c r="D2656">
        <v>3.39</v>
      </c>
      <c r="E2656">
        <v>4.84</v>
      </c>
      <c r="F2656">
        <v>0.73</v>
      </c>
      <c r="G2656">
        <v>1.35</v>
      </c>
      <c r="H2656">
        <v>1.6</v>
      </c>
      <c r="I2656">
        <v>1.05</v>
      </c>
      <c r="J2656">
        <v>0.05</v>
      </c>
      <c r="K2656">
        <v>0.05</v>
      </c>
    </row>
    <row r="2657" spans="1:11" x14ac:dyDescent="0.35">
      <c r="A2657" s="204">
        <v>42970</v>
      </c>
      <c r="B2657" s="544">
        <v>2.95</v>
      </c>
      <c r="C2657">
        <v>3.14</v>
      </c>
      <c r="D2657">
        <v>3.39</v>
      </c>
      <c r="E2657">
        <v>4.84</v>
      </c>
      <c r="F2657">
        <v>0.73</v>
      </c>
      <c r="G2657">
        <v>1.35</v>
      </c>
      <c r="H2657">
        <v>1.6</v>
      </c>
      <c r="I2657">
        <v>1.05</v>
      </c>
      <c r="J2657">
        <v>0.05</v>
      </c>
      <c r="K2657">
        <v>0.05</v>
      </c>
    </row>
    <row r="2658" spans="1:11" x14ac:dyDescent="0.35">
      <c r="A2658" s="204">
        <v>42977</v>
      </c>
      <c r="B2658" s="544">
        <v>2.95</v>
      </c>
      <c r="C2658">
        <v>3.14</v>
      </c>
      <c r="D2658">
        <v>3.39</v>
      </c>
      <c r="E2658">
        <v>4.84</v>
      </c>
      <c r="F2658">
        <v>0.73</v>
      </c>
      <c r="G2658">
        <v>1.35</v>
      </c>
      <c r="H2658">
        <v>1.6</v>
      </c>
      <c r="I2658">
        <v>1.05</v>
      </c>
      <c r="J2658">
        <v>0.05</v>
      </c>
      <c r="K2658">
        <v>0.05</v>
      </c>
    </row>
    <row r="2659" spans="1:11" x14ac:dyDescent="0.35">
      <c r="A2659" s="204">
        <v>42984</v>
      </c>
      <c r="B2659" s="544">
        <v>2.95</v>
      </c>
      <c r="C2659">
        <v>3.14</v>
      </c>
      <c r="D2659">
        <v>3.39</v>
      </c>
      <c r="E2659">
        <v>4.84</v>
      </c>
      <c r="F2659">
        <v>0.73</v>
      </c>
      <c r="G2659">
        <v>1.35</v>
      </c>
      <c r="H2659">
        <v>1.6</v>
      </c>
      <c r="I2659">
        <v>1.05</v>
      </c>
      <c r="J2659">
        <v>0.05</v>
      </c>
      <c r="K2659">
        <v>0.05</v>
      </c>
    </row>
    <row r="2660" spans="1:11" x14ac:dyDescent="0.35">
      <c r="A2660" s="204">
        <v>42991</v>
      </c>
      <c r="B2660" s="544">
        <v>3.2</v>
      </c>
      <c r="C2660">
        <v>3.14</v>
      </c>
      <c r="D2660">
        <v>3.39</v>
      </c>
      <c r="E2660">
        <v>4.84</v>
      </c>
      <c r="F2660">
        <v>0.73</v>
      </c>
      <c r="G2660">
        <v>1.35</v>
      </c>
      <c r="H2660">
        <v>1.6</v>
      </c>
      <c r="I2660">
        <v>1.05</v>
      </c>
      <c r="J2660">
        <v>0.05</v>
      </c>
      <c r="K2660">
        <v>0.05</v>
      </c>
    </row>
    <row r="2661" spans="1:11" x14ac:dyDescent="0.35">
      <c r="A2661" s="204">
        <v>42998</v>
      </c>
      <c r="B2661" s="544">
        <v>3.2</v>
      </c>
      <c r="C2661">
        <v>3.14</v>
      </c>
      <c r="D2661">
        <v>3.54</v>
      </c>
      <c r="E2661">
        <v>4.84</v>
      </c>
      <c r="F2661">
        <v>0.73</v>
      </c>
      <c r="G2661">
        <v>1.35</v>
      </c>
      <c r="H2661">
        <v>1.6</v>
      </c>
      <c r="I2661">
        <v>1.05</v>
      </c>
      <c r="J2661">
        <v>0.05</v>
      </c>
      <c r="K2661">
        <v>0.05</v>
      </c>
    </row>
    <row r="2662" spans="1:11" x14ac:dyDescent="0.35">
      <c r="A2662" s="204">
        <v>43005</v>
      </c>
      <c r="B2662" s="544">
        <v>3.2</v>
      </c>
      <c r="C2662">
        <v>3.09</v>
      </c>
      <c r="D2662">
        <v>3.59</v>
      </c>
      <c r="E2662">
        <v>4.8899999999999997</v>
      </c>
      <c r="F2662">
        <v>0.73</v>
      </c>
      <c r="G2662">
        <v>1.35</v>
      </c>
      <c r="H2662">
        <v>1.6</v>
      </c>
      <c r="I2662">
        <v>1.05</v>
      </c>
      <c r="J2662">
        <v>0.05</v>
      </c>
      <c r="K2662">
        <v>0.05</v>
      </c>
    </row>
    <row r="2663" spans="1:11" x14ac:dyDescent="0.35">
      <c r="A2663" s="204">
        <v>43012</v>
      </c>
      <c r="B2663" s="544">
        <v>3.2</v>
      </c>
      <c r="C2663">
        <v>3.24</v>
      </c>
      <c r="D2663">
        <v>3.59</v>
      </c>
      <c r="E2663">
        <v>4.8899999999999997</v>
      </c>
      <c r="F2663">
        <v>0.73</v>
      </c>
      <c r="G2663">
        <v>1.35</v>
      </c>
      <c r="H2663">
        <v>1.6</v>
      </c>
      <c r="I2663">
        <v>1.05</v>
      </c>
      <c r="J2663">
        <v>0.05</v>
      </c>
      <c r="K2663">
        <v>0.05</v>
      </c>
    </row>
    <row r="2664" spans="1:11" x14ac:dyDescent="0.35">
      <c r="A2664" s="204">
        <v>43019</v>
      </c>
      <c r="B2664" s="544">
        <v>3.2</v>
      </c>
      <c r="C2664">
        <v>3.24</v>
      </c>
      <c r="D2664">
        <v>3.64</v>
      </c>
      <c r="E2664">
        <v>4.8899999999999997</v>
      </c>
      <c r="F2664">
        <v>0.73</v>
      </c>
      <c r="G2664">
        <v>1.35</v>
      </c>
      <c r="H2664">
        <v>1.6</v>
      </c>
      <c r="I2664">
        <v>1.05</v>
      </c>
      <c r="J2664">
        <v>0.05</v>
      </c>
      <c r="K2664">
        <v>0.05</v>
      </c>
    </row>
    <row r="2665" spans="1:11" x14ac:dyDescent="0.35">
      <c r="A2665" s="204">
        <v>43026</v>
      </c>
      <c r="B2665" s="544">
        <v>3.2</v>
      </c>
      <c r="C2665">
        <v>3.24</v>
      </c>
      <c r="D2665">
        <v>3.64</v>
      </c>
      <c r="E2665">
        <v>4.8899999999999997</v>
      </c>
      <c r="F2665">
        <v>0.73</v>
      </c>
      <c r="G2665">
        <v>1.35</v>
      </c>
      <c r="H2665">
        <v>1.6</v>
      </c>
      <c r="I2665">
        <v>1.05</v>
      </c>
      <c r="J2665">
        <v>0.05</v>
      </c>
      <c r="K2665">
        <v>0.05</v>
      </c>
    </row>
    <row r="2666" spans="1:11" x14ac:dyDescent="0.35">
      <c r="A2666" s="204">
        <v>43033</v>
      </c>
      <c r="B2666" s="544">
        <v>3.2</v>
      </c>
      <c r="C2666">
        <v>3.24</v>
      </c>
      <c r="D2666">
        <v>3.64</v>
      </c>
      <c r="E2666">
        <v>4.99</v>
      </c>
      <c r="F2666">
        <v>0.73</v>
      </c>
      <c r="G2666">
        <v>1.35</v>
      </c>
      <c r="H2666">
        <v>1.6</v>
      </c>
      <c r="I2666">
        <v>1.05</v>
      </c>
      <c r="J2666">
        <v>0.05</v>
      </c>
      <c r="K2666">
        <v>0.05</v>
      </c>
    </row>
    <row r="2667" spans="1:11" x14ac:dyDescent="0.35">
      <c r="A2667" s="204">
        <v>43040</v>
      </c>
      <c r="B2667" s="544">
        <v>3.2</v>
      </c>
      <c r="C2667">
        <v>3.24</v>
      </c>
      <c r="D2667">
        <v>3.74</v>
      </c>
      <c r="E2667">
        <v>4.99</v>
      </c>
      <c r="F2667">
        <v>0.73</v>
      </c>
      <c r="G2667">
        <v>1.35</v>
      </c>
      <c r="H2667">
        <v>1.6</v>
      </c>
      <c r="I2667">
        <v>1.05</v>
      </c>
      <c r="J2667">
        <v>0.05</v>
      </c>
      <c r="K2667">
        <v>0.05</v>
      </c>
    </row>
    <row r="2668" spans="1:11" x14ac:dyDescent="0.35">
      <c r="A2668" s="204">
        <v>43047</v>
      </c>
      <c r="B2668" s="544">
        <v>3.2</v>
      </c>
      <c r="C2668">
        <v>3.24</v>
      </c>
      <c r="D2668">
        <v>3.74</v>
      </c>
      <c r="E2668">
        <v>4.99</v>
      </c>
      <c r="F2668">
        <v>0.73</v>
      </c>
      <c r="G2668">
        <v>1.35</v>
      </c>
      <c r="H2668">
        <v>1.6</v>
      </c>
      <c r="I2668">
        <v>1.05</v>
      </c>
      <c r="J2668">
        <v>0.05</v>
      </c>
      <c r="K2668">
        <v>0.05</v>
      </c>
    </row>
    <row r="2669" spans="1:11" x14ac:dyDescent="0.35">
      <c r="A2669" s="204">
        <v>43054</v>
      </c>
      <c r="B2669" s="544">
        <v>3.2</v>
      </c>
      <c r="C2669">
        <v>3.24</v>
      </c>
      <c r="D2669">
        <v>3.74</v>
      </c>
      <c r="E2669">
        <v>4.99</v>
      </c>
      <c r="F2669">
        <v>0.73</v>
      </c>
      <c r="G2669">
        <v>1.35</v>
      </c>
      <c r="H2669">
        <v>1.6</v>
      </c>
      <c r="I2669">
        <v>1.05</v>
      </c>
      <c r="J2669">
        <v>0.05</v>
      </c>
      <c r="K2669">
        <v>0.05</v>
      </c>
    </row>
    <row r="2670" spans="1:11" x14ac:dyDescent="0.35">
      <c r="A2670" s="204">
        <v>43061</v>
      </c>
      <c r="B2670" s="544">
        <v>3.2</v>
      </c>
      <c r="C2670">
        <v>3.24</v>
      </c>
      <c r="D2670">
        <v>3.74</v>
      </c>
      <c r="E2670">
        <v>4.99</v>
      </c>
      <c r="F2670">
        <v>0.73</v>
      </c>
      <c r="G2670">
        <v>1.35</v>
      </c>
      <c r="H2670">
        <v>1.6</v>
      </c>
      <c r="I2670">
        <v>1.05</v>
      </c>
      <c r="J2670">
        <v>0.05</v>
      </c>
      <c r="K2670">
        <v>0.05</v>
      </c>
    </row>
    <row r="2671" spans="1:11" x14ac:dyDescent="0.35">
      <c r="A2671" s="204">
        <v>43068</v>
      </c>
      <c r="B2671" s="544">
        <v>3.2</v>
      </c>
      <c r="C2671">
        <v>3.24</v>
      </c>
      <c r="D2671">
        <v>3.74</v>
      </c>
      <c r="E2671">
        <v>4.99</v>
      </c>
      <c r="F2671">
        <v>0.73</v>
      </c>
      <c r="G2671">
        <v>1.35</v>
      </c>
      <c r="H2671">
        <v>1.6</v>
      </c>
      <c r="I2671">
        <v>1.05</v>
      </c>
      <c r="J2671">
        <v>0.05</v>
      </c>
      <c r="K2671">
        <v>0.05</v>
      </c>
    </row>
    <row r="2672" spans="1:11" x14ac:dyDescent="0.35">
      <c r="A2672" s="204">
        <v>43075</v>
      </c>
      <c r="B2672" s="544">
        <v>3.2</v>
      </c>
      <c r="C2672">
        <v>3.24</v>
      </c>
      <c r="D2672">
        <v>3.74</v>
      </c>
      <c r="E2672">
        <v>4.99</v>
      </c>
      <c r="F2672">
        <v>0.73</v>
      </c>
      <c r="G2672">
        <v>1.35</v>
      </c>
      <c r="H2672">
        <v>1.6</v>
      </c>
      <c r="I2672">
        <v>1.05</v>
      </c>
      <c r="J2672">
        <v>0.05</v>
      </c>
      <c r="K2672">
        <v>0.05</v>
      </c>
    </row>
    <row r="2673" spans="1:11" x14ac:dyDescent="0.35">
      <c r="A2673" s="204">
        <v>43082</v>
      </c>
      <c r="B2673" s="544">
        <v>3.2</v>
      </c>
      <c r="C2673">
        <v>3.24</v>
      </c>
      <c r="D2673">
        <v>3.74</v>
      </c>
      <c r="E2673">
        <v>4.99</v>
      </c>
      <c r="F2673">
        <v>0.73</v>
      </c>
      <c r="G2673">
        <v>1.35</v>
      </c>
      <c r="H2673">
        <v>1.6</v>
      </c>
      <c r="I2673">
        <v>1.05</v>
      </c>
      <c r="J2673">
        <v>0.05</v>
      </c>
      <c r="K2673">
        <v>0.05</v>
      </c>
    </row>
    <row r="2674" spans="1:11" x14ac:dyDescent="0.35">
      <c r="A2674" s="204">
        <v>43089</v>
      </c>
      <c r="B2674" s="544">
        <v>3.2</v>
      </c>
      <c r="C2674">
        <v>3.24</v>
      </c>
      <c r="D2674">
        <v>3.74</v>
      </c>
      <c r="E2674">
        <v>4.99</v>
      </c>
      <c r="F2674">
        <v>0.73</v>
      </c>
      <c r="G2674">
        <v>1.35</v>
      </c>
      <c r="H2674">
        <v>1.6</v>
      </c>
      <c r="I2674">
        <v>1.05</v>
      </c>
      <c r="J2674">
        <v>0.05</v>
      </c>
      <c r="K2674">
        <v>0.05</v>
      </c>
    </row>
    <row r="2675" spans="1:11" x14ac:dyDescent="0.35">
      <c r="A2675" s="204">
        <v>43096</v>
      </c>
      <c r="B2675" s="544">
        <v>3.2</v>
      </c>
      <c r="C2675">
        <v>3.24</v>
      </c>
      <c r="D2675">
        <v>3.74</v>
      </c>
      <c r="E2675">
        <v>4.99</v>
      </c>
      <c r="F2675">
        <v>0.73</v>
      </c>
      <c r="G2675">
        <v>1.35</v>
      </c>
      <c r="H2675">
        <v>1.6</v>
      </c>
      <c r="I2675">
        <v>1.05</v>
      </c>
      <c r="J2675">
        <v>0.05</v>
      </c>
      <c r="K2675">
        <v>0.05</v>
      </c>
    </row>
    <row r="2676" spans="1:11" x14ac:dyDescent="0.35">
      <c r="A2676" s="204">
        <v>43103</v>
      </c>
      <c r="B2676" s="544">
        <v>3.2</v>
      </c>
      <c r="C2676">
        <v>3.24</v>
      </c>
      <c r="D2676">
        <v>3.74</v>
      </c>
      <c r="E2676">
        <v>4.99</v>
      </c>
      <c r="F2676">
        <v>0.73</v>
      </c>
      <c r="G2676">
        <v>1.35</v>
      </c>
      <c r="H2676">
        <v>1.6</v>
      </c>
      <c r="I2676">
        <v>1.05</v>
      </c>
      <c r="J2676">
        <v>0.05</v>
      </c>
      <c r="K2676">
        <v>0.05</v>
      </c>
    </row>
    <row r="2677" spans="1:11" x14ac:dyDescent="0.35">
      <c r="A2677" s="204">
        <v>43110</v>
      </c>
      <c r="B2677" s="544">
        <v>3.2</v>
      </c>
      <c r="C2677">
        <v>3.24</v>
      </c>
      <c r="D2677">
        <v>3.74</v>
      </c>
      <c r="E2677">
        <v>4.99</v>
      </c>
      <c r="F2677">
        <v>0.73</v>
      </c>
      <c r="G2677">
        <v>1.35</v>
      </c>
      <c r="H2677">
        <v>1.6</v>
      </c>
      <c r="I2677">
        <v>1.05</v>
      </c>
      <c r="J2677">
        <v>0.05</v>
      </c>
      <c r="K2677">
        <v>0.05</v>
      </c>
    </row>
    <row r="2678" spans="1:11" x14ac:dyDescent="0.35">
      <c r="A2678" s="204">
        <v>43117</v>
      </c>
      <c r="B2678" s="544">
        <v>3.2</v>
      </c>
      <c r="C2678">
        <v>3.34</v>
      </c>
      <c r="D2678">
        <v>4.1500000000000004</v>
      </c>
      <c r="E2678">
        <v>5.14</v>
      </c>
      <c r="F2678">
        <v>0.73</v>
      </c>
      <c r="G2678">
        <v>1.35</v>
      </c>
      <c r="H2678">
        <v>1.6</v>
      </c>
      <c r="I2678">
        <v>1.05</v>
      </c>
      <c r="J2678">
        <v>0.05</v>
      </c>
      <c r="K2678">
        <v>0.05</v>
      </c>
    </row>
    <row r="2679" spans="1:11" x14ac:dyDescent="0.35">
      <c r="A2679" s="204">
        <v>43124</v>
      </c>
      <c r="B2679" s="544">
        <v>3.45</v>
      </c>
      <c r="C2679">
        <v>3.34</v>
      </c>
      <c r="D2679">
        <v>4.1500000000000004</v>
      </c>
      <c r="E2679">
        <v>5.14</v>
      </c>
      <c r="F2679">
        <v>0.73</v>
      </c>
      <c r="G2679">
        <v>1.35</v>
      </c>
      <c r="H2679">
        <v>1.6</v>
      </c>
      <c r="I2679">
        <v>1.05</v>
      </c>
      <c r="J2679">
        <v>0.05</v>
      </c>
      <c r="K2679">
        <v>0.05</v>
      </c>
    </row>
    <row r="2680" spans="1:11" x14ac:dyDescent="0.35">
      <c r="A2680" s="204">
        <v>43131</v>
      </c>
      <c r="B2680" s="544">
        <v>3.45</v>
      </c>
      <c r="C2680">
        <v>3.34</v>
      </c>
      <c r="D2680">
        <v>4.1500000000000004</v>
      </c>
      <c r="E2680">
        <v>5.14</v>
      </c>
      <c r="F2680">
        <v>0.73</v>
      </c>
      <c r="G2680">
        <v>1.35</v>
      </c>
      <c r="H2680">
        <v>1.6</v>
      </c>
      <c r="I2680">
        <v>1.05</v>
      </c>
      <c r="J2680">
        <v>0.05</v>
      </c>
      <c r="K2680">
        <v>0.05</v>
      </c>
    </row>
    <row r="2681" spans="1:11" x14ac:dyDescent="0.35">
      <c r="A2681" s="204">
        <v>43138</v>
      </c>
      <c r="B2681" s="544">
        <v>3.45</v>
      </c>
      <c r="C2681">
        <v>3.34</v>
      </c>
      <c r="D2681">
        <v>4.1500000000000004</v>
      </c>
      <c r="E2681">
        <v>5.14</v>
      </c>
      <c r="F2681">
        <v>0.73</v>
      </c>
      <c r="G2681">
        <v>1.35</v>
      </c>
      <c r="H2681">
        <v>1.6</v>
      </c>
      <c r="I2681">
        <v>1.05</v>
      </c>
      <c r="J2681">
        <v>0.05</v>
      </c>
      <c r="K2681">
        <v>0.05</v>
      </c>
    </row>
    <row r="2682" spans="1:11" x14ac:dyDescent="0.35">
      <c r="A2682" s="204">
        <v>43145</v>
      </c>
      <c r="B2682" s="544">
        <v>3.45</v>
      </c>
      <c r="C2682">
        <v>3.34</v>
      </c>
      <c r="D2682">
        <v>4.1500000000000004</v>
      </c>
      <c r="E2682">
        <v>5.14</v>
      </c>
      <c r="F2682">
        <v>0.73</v>
      </c>
      <c r="G2682">
        <v>1.35</v>
      </c>
      <c r="H2682">
        <v>1.6</v>
      </c>
      <c r="I2682">
        <v>1.05</v>
      </c>
      <c r="J2682">
        <v>0.05</v>
      </c>
      <c r="K2682">
        <v>0.05</v>
      </c>
    </row>
    <row r="2683" spans="1:11" x14ac:dyDescent="0.35">
      <c r="A2683" s="204">
        <v>43152</v>
      </c>
      <c r="B2683" s="544">
        <v>3.45</v>
      </c>
      <c r="C2683">
        <v>3.34</v>
      </c>
      <c r="D2683">
        <v>4.1500000000000004</v>
      </c>
      <c r="E2683">
        <v>5.14</v>
      </c>
      <c r="F2683">
        <v>0.73</v>
      </c>
      <c r="G2683">
        <v>1.35</v>
      </c>
      <c r="H2683">
        <v>1.6</v>
      </c>
      <c r="I2683">
        <v>1.05</v>
      </c>
      <c r="J2683">
        <v>0.05</v>
      </c>
      <c r="K2683">
        <v>0.05</v>
      </c>
    </row>
    <row r="2684" spans="1:11" x14ac:dyDescent="0.35">
      <c r="A2684" s="204">
        <v>43159</v>
      </c>
      <c r="B2684" s="544">
        <v>3.45</v>
      </c>
      <c r="C2684">
        <v>3.34</v>
      </c>
      <c r="D2684">
        <v>4.1500000000000004</v>
      </c>
      <c r="E2684">
        <v>5.14</v>
      </c>
      <c r="F2684">
        <v>0.73</v>
      </c>
      <c r="G2684">
        <v>1.35</v>
      </c>
      <c r="H2684">
        <v>1.6</v>
      </c>
      <c r="I2684">
        <v>1.05</v>
      </c>
      <c r="J2684">
        <v>0.05</v>
      </c>
      <c r="K2684">
        <v>0.05</v>
      </c>
    </row>
    <row r="2685" spans="1:11" x14ac:dyDescent="0.35">
      <c r="A2685" s="204">
        <v>43166</v>
      </c>
      <c r="B2685" s="544">
        <v>3.45</v>
      </c>
      <c r="C2685">
        <v>3.34</v>
      </c>
      <c r="D2685">
        <v>4.1500000000000004</v>
      </c>
      <c r="E2685">
        <v>5.14</v>
      </c>
      <c r="F2685">
        <v>0.73</v>
      </c>
      <c r="G2685">
        <v>1.35</v>
      </c>
      <c r="H2685">
        <v>1.6</v>
      </c>
      <c r="I2685">
        <v>1.05</v>
      </c>
      <c r="J2685">
        <v>0.05</v>
      </c>
      <c r="K2685">
        <v>0.05</v>
      </c>
    </row>
    <row r="2686" spans="1:11" x14ac:dyDescent="0.35">
      <c r="A2686" s="204">
        <v>43173</v>
      </c>
      <c r="B2686" s="544">
        <v>3.45</v>
      </c>
      <c r="C2686">
        <v>3.34</v>
      </c>
      <c r="D2686">
        <v>4.1500000000000004</v>
      </c>
      <c r="E2686">
        <v>5.14</v>
      </c>
      <c r="F2686">
        <v>0.73</v>
      </c>
      <c r="G2686">
        <v>1.35</v>
      </c>
      <c r="H2686">
        <v>1.6</v>
      </c>
      <c r="I2686">
        <v>1.05</v>
      </c>
      <c r="J2686">
        <v>0.05</v>
      </c>
      <c r="K2686">
        <v>0.05</v>
      </c>
    </row>
    <row r="2687" spans="1:11" x14ac:dyDescent="0.35">
      <c r="A2687" s="204">
        <v>43180</v>
      </c>
      <c r="B2687" s="544">
        <v>3.45</v>
      </c>
      <c r="C2687">
        <v>3.34</v>
      </c>
      <c r="D2687">
        <v>4.1500000000000004</v>
      </c>
      <c r="E2687">
        <v>5.14</v>
      </c>
      <c r="F2687">
        <v>0.73</v>
      </c>
      <c r="G2687">
        <v>1.35</v>
      </c>
      <c r="H2687">
        <v>1.6</v>
      </c>
      <c r="I2687">
        <v>1.05</v>
      </c>
      <c r="J2687">
        <v>0.05</v>
      </c>
      <c r="K2687">
        <v>0.05</v>
      </c>
    </row>
    <row r="2688" spans="1:11" x14ac:dyDescent="0.35">
      <c r="A2688" s="204">
        <v>43187</v>
      </c>
      <c r="B2688" s="544">
        <v>3.45</v>
      </c>
      <c r="C2688">
        <v>3.34</v>
      </c>
      <c r="D2688">
        <v>4.1500000000000004</v>
      </c>
      <c r="E2688">
        <v>5.14</v>
      </c>
      <c r="F2688">
        <v>0.73</v>
      </c>
      <c r="G2688">
        <v>1.35</v>
      </c>
      <c r="H2688">
        <v>1.6</v>
      </c>
      <c r="I2688">
        <v>1.05</v>
      </c>
      <c r="J2688">
        <v>0.05</v>
      </c>
      <c r="K2688">
        <v>0.05</v>
      </c>
    </row>
    <row r="2689" spans="1:11" x14ac:dyDescent="0.35">
      <c r="A2689" s="204">
        <v>43194</v>
      </c>
      <c r="B2689" s="544">
        <v>3.45</v>
      </c>
      <c r="C2689">
        <v>3.34</v>
      </c>
      <c r="D2689">
        <v>4.1500000000000004</v>
      </c>
      <c r="E2689">
        <v>5.14</v>
      </c>
      <c r="F2689">
        <v>0.73</v>
      </c>
      <c r="G2689">
        <v>1.35</v>
      </c>
      <c r="H2689">
        <v>1.6</v>
      </c>
      <c r="I2689">
        <v>1.05</v>
      </c>
      <c r="J2689">
        <v>0.05</v>
      </c>
      <c r="K2689">
        <v>0.05</v>
      </c>
    </row>
    <row r="2690" spans="1:11" x14ac:dyDescent="0.35">
      <c r="A2690" s="204">
        <v>43201</v>
      </c>
      <c r="B2690" s="544">
        <v>3.45</v>
      </c>
      <c r="C2690">
        <v>3.34</v>
      </c>
      <c r="D2690">
        <v>4.1500000000000004</v>
      </c>
      <c r="E2690">
        <v>5.14</v>
      </c>
      <c r="F2690">
        <v>0.73</v>
      </c>
      <c r="G2690">
        <v>1.35</v>
      </c>
      <c r="H2690">
        <v>1.6</v>
      </c>
      <c r="I2690">
        <v>1.05</v>
      </c>
      <c r="J2690">
        <v>0.05</v>
      </c>
      <c r="K2690">
        <v>0.05</v>
      </c>
    </row>
    <row r="2691" spans="1:11" x14ac:dyDescent="0.35">
      <c r="A2691" s="204">
        <v>43208</v>
      </c>
      <c r="B2691" s="544">
        <v>3.45</v>
      </c>
      <c r="C2691">
        <v>3.34</v>
      </c>
      <c r="D2691">
        <v>4.1500000000000004</v>
      </c>
      <c r="E2691">
        <v>5.14</v>
      </c>
      <c r="F2691">
        <v>0.73</v>
      </c>
      <c r="G2691">
        <v>1.35</v>
      </c>
      <c r="H2691">
        <v>1.6</v>
      </c>
      <c r="I2691">
        <v>1.05</v>
      </c>
      <c r="J2691">
        <v>0.05</v>
      </c>
      <c r="K2691">
        <v>0.05</v>
      </c>
    </row>
    <row r="2692" spans="1:11" x14ac:dyDescent="0.35">
      <c r="A2692" s="204">
        <v>43215</v>
      </c>
      <c r="B2692" s="544">
        <v>3.45</v>
      </c>
      <c r="C2692">
        <v>3.34</v>
      </c>
      <c r="D2692">
        <v>4.1500000000000004</v>
      </c>
      <c r="E2692">
        <v>5.14</v>
      </c>
      <c r="F2692">
        <v>0.73</v>
      </c>
      <c r="G2692">
        <v>1.35</v>
      </c>
      <c r="H2692">
        <v>1.6</v>
      </c>
      <c r="I2692">
        <v>1.05</v>
      </c>
      <c r="J2692">
        <v>0.05</v>
      </c>
      <c r="K2692">
        <v>0.05</v>
      </c>
    </row>
    <row r="2693" spans="1:11" x14ac:dyDescent="0.35">
      <c r="A2693" s="204">
        <v>43222</v>
      </c>
      <c r="B2693" s="544">
        <v>3.45</v>
      </c>
      <c r="C2693">
        <v>3.49</v>
      </c>
      <c r="D2693">
        <v>4.3</v>
      </c>
      <c r="E2693">
        <v>5.14</v>
      </c>
      <c r="F2693">
        <v>0.73</v>
      </c>
      <c r="G2693">
        <v>1.1000000000000001</v>
      </c>
      <c r="H2693">
        <v>1.6</v>
      </c>
      <c r="I2693">
        <v>1.05</v>
      </c>
      <c r="J2693">
        <v>0.05</v>
      </c>
      <c r="K2693">
        <v>0.05</v>
      </c>
    </row>
    <row r="2694" spans="1:11" x14ac:dyDescent="0.35">
      <c r="A2694" s="204">
        <v>43229</v>
      </c>
      <c r="B2694" s="544">
        <v>3.45</v>
      </c>
      <c r="C2694">
        <v>3.49</v>
      </c>
      <c r="D2694">
        <v>4.3</v>
      </c>
      <c r="E2694">
        <v>5.34</v>
      </c>
      <c r="F2694">
        <v>0.73</v>
      </c>
      <c r="G2694">
        <v>1.1000000000000001</v>
      </c>
      <c r="H2694">
        <v>1.6</v>
      </c>
      <c r="I2694">
        <v>1.05</v>
      </c>
      <c r="J2694">
        <v>0.05</v>
      </c>
      <c r="K2694">
        <v>0.05</v>
      </c>
    </row>
    <row r="2695" spans="1:11" x14ac:dyDescent="0.35">
      <c r="A2695" s="204">
        <v>43236</v>
      </c>
      <c r="B2695" s="544">
        <v>3.45</v>
      </c>
      <c r="C2695">
        <v>3.49</v>
      </c>
      <c r="D2695">
        <v>4.3</v>
      </c>
      <c r="E2695">
        <v>5.34</v>
      </c>
      <c r="F2695">
        <v>0.73</v>
      </c>
      <c r="G2695">
        <v>1.1000000000000001</v>
      </c>
      <c r="H2695">
        <v>1.6</v>
      </c>
      <c r="I2695">
        <v>1.05</v>
      </c>
      <c r="J2695">
        <v>0.05</v>
      </c>
      <c r="K2695">
        <v>0.05</v>
      </c>
    </row>
    <row r="2696" spans="1:11" x14ac:dyDescent="0.35">
      <c r="A2696" s="204">
        <v>43243</v>
      </c>
      <c r="B2696" s="544">
        <v>3.45</v>
      </c>
      <c r="C2696">
        <v>3.49</v>
      </c>
      <c r="D2696">
        <v>4.3</v>
      </c>
      <c r="E2696">
        <v>5.34</v>
      </c>
      <c r="F2696">
        <v>0.73</v>
      </c>
      <c r="G2696">
        <v>1.1000000000000001</v>
      </c>
      <c r="H2696">
        <v>1.6</v>
      </c>
      <c r="I2696">
        <v>1.05</v>
      </c>
      <c r="J2696">
        <v>0.05</v>
      </c>
      <c r="K2696">
        <v>0.05</v>
      </c>
    </row>
    <row r="2697" spans="1:11" x14ac:dyDescent="0.35">
      <c r="A2697" s="204">
        <v>43250</v>
      </c>
      <c r="B2697" s="544">
        <v>3.45</v>
      </c>
      <c r="C2697">
        <v>3.49</v>
      </c>
      <c r="D2697">
        <v>4.3</v>
      </c>
      <c r="E2697">
        <v>5.34</v>
      </c>
      <c r="F2697">
        <v>0.73</v>
      </c>
      <c r="G2697">
        <v>1.1000000000000001</v>
      </c>
      <c r="H2697">
        <v>1.6</v>
      </c>
      <c r="I2697">
        <v>1.05</v>
      </c>
      <c r="J2697">
        <v>0.05</v>
      </c>
      <c r="K2697">
        <v>0.05</v>
      </c>
    </row>
    <row r="2698" spans="1:11" x14ac:dyDescent="0.35">
      <c r="A2698" s="204">
        <v>43257</v>
      </c>
      <c r="B2698" s="544">
        <v>3.45</v>
      </c>
      <c r="C2698">
        <v>3.49</v>
      </c>
      <c r="D2698">
        <v>4.3</v>
      </c>
      <c r="E2698">
        <v>5.34</v>
      </c>
      <c r="F2698">
        <v>0.73</v>
      </c>
      <c r="G2698">
        <v>1.1000000000000001</v>
      </c>
      <c r="H2698">
        <v>1.6</v>
      </c>
      <c r="I2698">
        <v>1.05</v>
      </c>
      <c r="J2698">
        <v>0.05</v>
      </c>
      <c r="K2698">
        <v>0.05</v>
      </c>
    </row>
    <row r="2699" spans="1:11" x14ac:dyDescent="0.35">
      <c r="A2699" s="204">
        <v>43264</v>
      </c>
      <c r="B2699" s="544">
        <v>3.45</v>
      </c>
      <c r="C2699">
        <v>3.49</v>
      </c>
      <c r="D2699">
        <v>4.3</v>
      </c>
      <c r="E2699">
        <v>5.34</v>
      </c>
      <c r="F2699">
        <v>0.73</v>
      </c>
      <c r="G2699">
        <v>1.1000000000000001</v>
      </c>
      <c r="H2699">
        <v>1.6</v>
      </c>
      <c r="I2699">
        <v>1.05</v>
      </c>
      <c r="J2699">
        <v>0.05</v>
      </c>
      <c r="K2699">
        <v>0.05</v>
      </c>
    </row>
    <row r="2700" spans="1:11" x14ac:dyDescent="0.35">
      <c r="A2700" s="204">
        <v>43271</v>
      </c>
      <c r="B2700" s="544">
        <v>3.45</v>
      </c>
      <c r="C2700">
        <v>3.49</v>
      </c>
      <c r="D2700">
        <v>4.3</v>
      </c>
      <c r="E2700">
        <v>5.34</v>
      </c>
      <c r="F2700">
        <v>0.73</v>
      </c>
      <c r="G2700">
        <v>1.1000000000000001</v>
      </c>
      <c r="H2700">
        <v>1.6</v>
      </c>
      <c r="I2700">
        <v>1.05</v>
      </c>
      <c r="J2700">
        <v>0.05</v>
      </c>
      <c r="K2700">
        <v>0.05</v>
      </c>
    </row>
    <row r="2701" spans="1:11" x14ac:dyDescent="0.35">
      <c r="A2701" s="204">
        <v>43278</v>
      </c>
      <c r="B2701" s="544">
        <v>3.45</v>
      </c>
      <c r="C2701">
        <v>3.49</v>
      </c>
      <c r="D2701">
        <v>4.3</v>
      </c>
      <c r="E2701">
        <v>5.34</v>
      </c>
      <c r="F2701">
        <v>0.73</v>
      </c>
      <c r="G2701">
        <v>1.1000000000000001</v>
      </c>
      <c r="H2701">
        <v>1.6</v>
      </c>
      <c r="I2701">
        <v>1.05</v>
      </c>
      <c r="J2701">
        <v>0.05</v>
      </c>
      <c r="K2701">
        <v>0.05</v>
      </c>
    </row>
    <row r="2702" spans="1:11" x14ac:dyDescent="0.35">
      <c r="A2702" s="204">
        <v>43285</v>
      </c>
      <c r="B2702" s="544">
        <v>3.45</v>
      </c>
      <c r="C2702">
        <v>3.49</v>
      </c>
      <c r="D2702">
        <v>4.3</v>
      </c>
      <c r="E2702">
        <v>5.34</v>
      </c>
      <c r="F2702">
        <v>0.73</v>
      </c>
      <c r="G2702">
        <v>1.1000000000000001</v>
      </c>
      <c r="H2702">
        <v>1.6</v>
      </c>
      <c r="I2702">
        <v>1.25</v>
      </c>
      <c r="J2702">
        <v>0.05</v>
      </c>
      <c r="K2702">
        <v>0.05</v>
      </c>
    </row>
    <row r="2703" spans="1:11" x14ac:dyDescent="0.35">
      <c r="A2703" s="204">
        <v>43292</v>
      </c>
      <c r="B2703" s="544">
        <v>3.7</v>
      </c>
      <c r="C2703">
        <v>3.49</v>
      </c>
      <c r="D2703">
        <v>4.3</v>
      </c>
      <c r="E2703">
        <v>5.34</v>
      </c>
      <c r="F2703">
        <v>0.73</v>
      </c>
      <c r="G2703">
        <v>1.1000000000000001</v>
      </c>
      <c r="H2703">
        <v>1.6</v>
      </c>
      <c r="I2703">
        <v>1.25</v>
      </c>
      <c r="J2703">
        <v>0.05</v>
      </c>
      <c r="K2703">
        <v>0.05</v>
      </c>
    </row>
    <row r="2704" spans="1:11" x14ac:dyDescent="0.35">
      <c r="A2704" s="204">
        <v>43299</v>
      </c>
      <c r="B2704" s="544">
        <v>3.7</v>
      </c>
      <c r="C2704">
        <v>3.49</v>
      </c>
      <c r="D2704">
        <v>4.3</v>
      </c>
      <c r="E2704">
        <v>5.34</v>
      </c>
      <c r="F2704">
        <v>0.73</v>
      </c>
      <c r="G2704">
        <v>1.1000000000000001</v>
      </c>
      <c r="H2704">
        <v>1.6</v>
      </c>
      <c r="I2704">
        <v>1.25</v>
      </c>
      <c r="J2704">
        <v>0.05</v>
      </c>
      <c r="K2704">
        <v>0.05</v>
      </c>
    </row>
    <row r="2705" spans="1:11" x14ac:dyDescent="0.35">
      <c r="A2705" s="204">
        <v>43306</v>
      </c>
      <c r="B2705" s="544">
        <v>3.7</v>
      </c>
      <c r="C2705">
        <v>3.49</v>
      </c>
      <c r="D2705">
        <v>4.3</v>
      </c>
      <c r="E2705">
        <v>5.34</v>
      </c>
      <c r="F2705">
        <v>0.73</v>
      </c>
      <c r="G2705">
        <v>1.1000000000000001</v>
      </c>
      <c r="H2705">
        <v>1.6</v>
      </c>
      <c r="I2705">
        <v>1.25</v>
      </c>
      <c r="J2705">
        <v>0.05</v>
      </c>
      <c r="K2705">
        <v>0.05</v>
      </c>
    </row>
    <row r="2706" spans="1:11" x14ac:dyDescent="0.35">
      <c r="A2706" s="204">
        <v>43313</v>
      </c>
      <c r="B2706" s="544">
        <v>3.7</v>
      </c>
      <c r="C2706">
        <v>3.49</v>
      </c>
      <c r="D2706">
        <v>4.3</v>
      </c>
      <c r="E2706">
        <v>5.34</v>
      </c>
      <c r="F2706">
        <v>0.73</v>
      </c>
      <c r="G2706">
        <v>1.1000000000000001</v>
      </c>
      <c r="H2706">
        <v>1.6</v>
      </c>
      <c r="I2706">
        <v>1.25</v>
      </c>
      <c r="J2706">
        <v>0.05</v>
      </c>
      <c r="K2706">
        <v>0.05</v>
      </c>
    </row>
    <row r="2707" spans="1:11" x14ac:dyDescent="0.35">
      <c r="A2707" s="204">
        <v>43320</v>
      </c>
      <c r="B2707" s="544">
        <v>3.7</v>
      </c>
      <c r="C2707">
        <v>3.49</v>
      </c>
      <c r="D2707">
        <v>4.3</v>
      </c>
      <c r="E2707">
        <v>5.34</v>
      </c>
      <c r="F2707">
        <v>0.73</v>
      </c>
      <c r="G2707">
        <v>1.1000000000000001</v>
      </c>
      <c r="H2707">
        <v>1.6</v>
      </c>
      <c r="I2707">
        <v>1.25</v>
      </c>
      <c r="J2707">
        <v>0.05</v>
      </c>
      <c r="K2707">
        <v>0.05</v>
      </c>
    </row>
    <row r="2708" spans="1:11" x14ac:dyDescent="0.35">
      <c r="A2708" s="204">
        <v>43327</v>
      </c>
      <c r="B2708" s="544">
        <v>3.7</v>
      </c>
      <c r="C2708">
        <v>3.49</v>
      </c>
      <c r="D2708">
        <v>4.3</v>
      </c>
      <c r="E2708">
        <v>5.34</v>
      </c>
      <c r="F2708">
        <v>0.73</v>
      </c>
      <c r="G2708">
        <v>1.1000000000000001</v>
      </c>
      <c r="H2708">
        <v>1.6</v>
      </c>
      <c r="I2708">
        <v>1.25</v>
      </c>
      <c r="J2708">
        <v>0.05</v>
      </c>
      <c r="K2708">
        <v>0.05</v>
      </c>
    </row>
    <row r="2709" spans="1:11" x14ac:dyDescent="0.35">
      <c r="A2709" s="204">
        <v>43334</v>
      </c>
      <c r="B2709" s="544">
        <v>3.7</v>
      </c>
      <c r="C2709">
        <v>3.49</v>
      </c>
      <c r="D2709">
        <v>4.3</v>
      </c>
      <c r="E2709">
        <v>5.34</v>
      </c>
      <c r="F2709">
        <v>1.2</v>
      </c>
      <c r="G2709">
        <v>1.1000000000000001</v>
      </c>
      <c r="H2709">
        <v>1.6</v>
      </c>
      <c r="I2709">
        <v>1.25</v>
      </c>
      <c r="J2709">
        <v>0.05</v>
      </c>
      <c r="K2709">
        <v>0.05</v>
      </c>
    </row>
    <row r="2710" spans="1:11" x14ac:dyDescent="0.35">
      <c r="A2710" s="204">
        <v>43341</v>
      </c>
      <c r="B2710" s="544">
        <v>3.7</v>
      </c>
      <c r="C2710">
        <v>3.49</v>
      </c>
      <c r="D2710">
        <v>4.3</v>
      </c>
      <c r="E2710">
        <v>5.34</v>
      </c>
      <c r="F2710">
        <v>1.08</v>
      </c>
      <c r="G2710">
        <v>1.33</v>
      </c>
      <c r="H2710">
        <v>1.48</v>
      </c>
      <c r="I2710">
        <v>1.25</v>
      </c>
      <c r="J2710">
        <v>0.05</v>
      </c>
      <c r="K2710">
        <v>0.05</v>
      </c>
    </row>
    <row r="2711" spans="1:11" x14ac:dyDescent="0.35">
      <c r="A2711" s="204">
        <v>43348</v>
      </c>
      <c r="B2711" s="544">
        <v>3.7</v>
      </c>
      <c r="C2711">
        <v>3.49</v>
      </c>
      <c r="D2711">
        <v>4.3</v>
      </c>
      <c r="E2711">
        <v>5.34</v>
      </c>
      <c r="F2711">
        <v>1.08</v>
      </c>
      <c r="G2711">
        <v>1.33</v>
      </c>
      <c r="H2711">
        <v>1.48</v>
      </c>
      <c r="I2711">
        <v>1.25</v>
      </c>
      <c r="J2711">
        <v>0.05</v>
      </c>
      <c r="K2711">
        <v>0.05</v>
      </c>
    </row>
    <row r="2712" spans="1:11" x14ac:dyDescent="0.35">
      <c r="A2712" s="204">
        <v>43355</v>
      </c>
      <c r="B2712" s="544">
        <v>3.7</v>
      </c>
      <c r="C2712">
        <v>3.49</v>
      </c>
      <c r="D2712">
        <v>4.3</v>
      </c>
      <c r="E2712">
        <v>5.34</v>
      </c>
      <c r="F2712">
        <v>1.08</v>
      </c>
      <c r="G2712">
        <v>1.33</v>
      </c>
      <c r="H2712">
        <v>1.48</v>
      </c>
      <c r="I2712">
        <v>1.28</v>
      </c>
      <c r="J2712">
        <v>0.05</v>
      </c>
      <c r="K2712">
        <v>0.05</v>
      </c>
    </row>
    <row r="2713" spans="1:11" x14ac:dyDescent="0.35">
      <c r="A2713" s="204">
        <v>43362</v>
      </c>
      <c r="B2713" s="544">
        <v>3.7</v>
      </c>
      <c r="C2713">
        <v>3.49</v>
      </c>
      <c r="D2713">
        <v>4.3</v>
      </c>
      <c r="E2713">
        <v>5.34</v>
      </c>
      <c r="F2713">
        <v>1.08</v>
      </c>
      <c r="G2713">
        <v>1.33</v>
      </c>
      <c r="H2713">
        <v>1.48</v>
      </c>
      <c r="I2713">
        <v>1.28</v>
      </c>
      <c r="J2713">
        <v>0.05</v>
      </c>
      <c r="K2713">
        <v>0.05</v>
      </c>
    </row>
    <row r="2714" spans="1:11" x14ac:dyDescent="0.35">
      <c r="A2714" s="204">
        <v>43369</v>
      </c>
      <c r="B2714" s="544">
        <v>3.7</v>
      </c>
      <c r="C2714">
        <v>3.49</v>
      </c>
      <c r="D2714">
        <v>4.3</v>
      </c>
      <c r="E2714">
        <v>5.34</v>
      </c>
      <c r="F2714">
        <v>1.08</v>
      </c>
      <c r="G2714">
        <v>1.4</v>
      </c>
      <c r="H2714">
        <v>1.6</v>
      </c>
      <c r="I2714">
        <v>1.28</v>
      </c>
      <c r="J2714">
        <v>0.05</v>
      </c>
      <c r="K2714">
        <v>0.05</v>
      </c>
    </row>
    <row r="2715" spans="1:11" x14ac:dyDescent="0.35">
      <c r="A2715" s="204">
        <v>43376</v>
      </c>
      <c r="B2715" s="544">
        <v>3.7</v>
      </c>
      <c r="C2715">
        <v>3.49</v>
      </c>
      <c r="D2715">
        <v>4.3</v>
      </c>
      <c r="E2715">
        <v>5.34</v>
      </c>
      <c r="F2715">
        <v>1.08</v>
      </c>
      <c r="G2715">
        <v>1.4</v>
      </c>
      <c r="H2715">
        <v>1.6</v>
      </c>
      <c r="I2715">
        <v>1.28</v>
      </c>
      <c r="J2715">
        <v>0.05</v>
      </c>
      <c r="K2715">
        <v>0.05</v>
      </c>
    </row>
    <row r="2716" spans="1:11" x14ac:dyDescent="0.35">
      <c r="A2716" s="204">
        <v>43383</v>
      </c>
      <c r="B2716" s="544">
        <v>3.7</v>
      </c>
      <c r="C2716">
        <v>3.49</v>
      </c>
      <c r="D2716">
        <v>4.29</v>
      </c>
      <c r="E2716">
        <v>5.34</v>
      </c>
      <c r="F2716">
        <v>1.08</v>
      </c>
      <c r="G2716">
        <v>1.4</v>
      </c>
      <c r="H2716">
        <v>1.6</v>
      </c>
      <c r="I2716">
        <v>1.28</v>
      </c>
      <c r="J2716">
        <v>0.05</v>
      </c>
      <c r="K2716">
        <v>0.05</v>
      </c>
    </row>
    <row r="2717" spans="1:11" x14ac:dyDescent="0.35">
      <c r="A2717" s="204">
        <v>43390</v>
      </c>
      <c r="B2717" s="544">
        <v>3.7</v>
      </c>
      <c r="C2717">
        <v>3.64</v>
      </c>
      <c r="D2717">
        <v>4.29</v>
      </c>
      <c r="E2717">
        <v>5.34</v>
      </c>
      <c r="F2717">
        <v>1.08</v>
      </c>
      <c r="G2717">
        <v>1.45</v>
      </c>
      <c r="H2717">
        <v>1.6</v>
      </c>
      <c r="I2717">
        <v>1.28</v>
      </c>
      <c r="J2717">
        <v>0.05</v>
      </c>
      <c r="K2717">
        <v>0.05</v>
      </c>
    </row>
    <row r="2718" spans="1:11" x14ac:dyDescent="0.35">
      <c r="A2718" s="204">
        <v>43397</v>
      </c>
      <c r="B2718" s="544">
        <v>3.7</v>
      </c>
      <c r="C2718">
        <v>3.64</v>
      </c>
      <c r="D2718">
        <v>4.29</v>
      </c>
      <c r="E2718">
        <v>5.34</v>
      </c>
      <c r="F2718">
        <v>1.08</v>
      </c>
      <c r="G2718">
        <v>1.45</v>
      </c>
      <c r="H2718">
        <v>1.6</v>
      </c>
      <c r="I2718">
        <v>1.28</v>
      </c>
      <c r="J2718">
        <v>0.05</v>
      </c>
      <c r="K2718">
        <v>0.05</v>
      </c>
    </row>
    <row r="2719" spans="1:11" x14ac:dyDescent="0.35">
      <c r="A2719" s="204">
        <v>43404</v>
      </c>
      <c r="B2719" s="544">
        <v>3.95</v>
      </c>
      <c r="C2719">
        <v>3.64</v>
      </c>
      <c r="D2719">
        <v>4.29</v>
      </c>
      <c r="E2719">
        <v>5.34</v>
      </c>
      <c r="F2719">
        <v>1.08</v>
      </c>
      <c r="G2719">
        <v>1.45</v>
      </c>
      <c r="H2719">
        <v>1.6</v>
      </c>
      <c r="I2719">
        <v>1.28</v>
      </c>
      <c r="J2719">
        <v>0.05</v>
      </c>
      <c r="K2719">
        <v>0.05</v>
      </c>
    </row>
    <row r="2720" spans="1:11" x14ac:dyDescent="0.35">
      <c r="A2720" s="204">
        <v>43411</v>
      </c>
      <c r="B2720" s="544">
        <v>3.95</v>
      </c>
      <c r="C2720">
        <v>3.64</v>
      </c>
      <c r="D2720">
        <v>4.29</v>
      </c>
      <c r="E2720">
        <v>5.34</v>
      </c>
      <c r="F2720">
        <v>1.08</v>
      </c>
      <c r="G2720">
        <v>1.45</v>
      </c>
      <c r="H2720">
        <v>1.6</v>
      </c>
      <c r="I2720">
        <v>1.45</v>
      </c>
      <c r="J2720">
        <v>0.05</v>
      </c>
      <c r="K2720">
        <v>0.05</v>
      </c>
    </row>
    <row r="2721" spans="1:11" x14ac:dyDescent="0.35">
      <c r="A2721" s="204">
        <v>43418</v>
      </c>
      <c r="B2721" s="544">
        <v>3.95</v>
      </c>
      <c r="C2721">
        <v>3.64</v>
      </c>
      <c r="D2721">
        <v>4.29</v>
      </c>
      <c r="E2721">
        <v>5.34</v>
      </c>
      <c r="F2721">
        <v>1.08</v>
      </c>
      <c r="G2721">
        <v>1.5</v>
      </c>
      <c r="H2721">
        <v>2.2000000000000002</v>
      </c>
      <c r="I2721">
        <v>1.45</v>
      </c>
      <c r="J2721">
        <v>0.05</v>
      </c>
      <c r="K2721">
        <v>0.05</v>
      </c>
    </row>
    <row r="2722" spans="1:11" x14ac:dyDescent="0.35">
      <c r="A2722" s="204">
        <v>43425</v>
      </c>
      <c r="B2722" s="544">
        <v>3.95</v>
      </c>
      <c r="C2722">
        <v>3.64</v>
      </c>
      <c r="D2722">
        <v>4.29</v>
      </c>
      <c r="E2722">
        <v>5.34</v>
      </c>
      <c r="F2722">
        <v>1.08</v>
      </c>
      <c r="G2722">
        <v>1.5</v>
      </c>
      <c r="H2722">
        <v>2.2000000000000002</v>
      </c>
      <c r="I2722">
        <v>1.45</v>
      </c>
      <c r="J2722">
        <v>0.05</v>
      </c>
      <c r="K2722">
        <v>0.05</v>
      </c>
    </row>
    <row r="2723" spans="1:11" x14ac:dyDescent="0.35">
      <c r="A2723" s="204">
        <v>43432</v>
      </c>
      <c r="B2723" s="544">
        <v>3.95</v>
      </c>
      <c r="C2723">
        <v>3.64</v>
      </c>
      <c r="D2723">
        <v>4.29</v>
      </c>
      <c r="E2723">
        <v>5.34</v>
      </c>
      <c r="F2723">
        <v>1.3</v>
      </c>
      <c r="G2723">
        <v>1.5</v>
      </c>
      <c r="H2723">
        <v>2.2000000000000002</v>
      </c>
      <c r="I2723">
        <v>1.45</v>
      </c>
      <c r="J2723">
        <v>0.05</v>
      </c>
      <c r="K2723">
        <v>0.05</v>
      </c>
    </row>
    <row r="2724" spans="1:11" x14ac:dyDescent="0.35">
      <c r="A2724" s="204">
        <v>43439</v>
      </c>
      <c r="B2724" s="544">
        <v>3.95</v>
      </c>
      <c r="C2724">
        <v>3.64</v>
      </c>
      <c r="D2724">
        <v>4.29</v>
      </c>
      <c r="E2724">
        <v>5.34</v>
      </c>
      <c r="F2724">
        <v>1.3</v>
      </c>
      <c r="G2724">
        <v>1.5</v>
      </c>
      <c r="H2724">
        <v>2.2000000000000002</v>
      </c>
      <c r="I2724">
        <v>1.45</v>
      </c>
      <c r="J2724">
        <v>0.05</v>
      </c>
      <c r="K2724">
        <v>0.05</v>
      </c>
    </row>
    <row r="2725" spans="1:11" x14ac:dyDescent="0.35">
      <c r="A2725" s="204">
        <v>43446</v>
      </c>
      <c r="B2725" s="544">
        <v>3.95</v>
      </c>
      <c r="C2725">
        <v>3.64</v>
      </c>
      <c r="D2725">
        <v>4.29</v>
      </c>
      <c r="E2725">
        <v>5.34</v>
      </c>
      <c r="F2725">
        <v>1.3</v>
      </c>
      <c r="G2725">
        <v>1.5</v>
      </c>
      <c r="H2725">
        <v>2.2000000000000002</v>
      </c>
      <c r="I2725">
        <v>1.45</v>
      </c>
      <c r="J2725">
        <v>0.05</v>
      </c>
      <c r="K2725">
        <v>0.05</v>
      </c>
    </row>
    <row r="2726" spans="1:11" x14ac:dyDescent="0.35">
      <c r="A2726" s="204">
        <v>43453</v>
      </c>
      <c r="B2726" s="544">
        <v>3.95</v>
      </c>
      <c r="C2726">
        <v>3.64</v>
      </c>
      <c r="D2726">
        <v>4.29</v>
      </c>
      <c r="E2726">
        <v>5.34</v>
      </c>
      <c r="F2726">
        <v>1.3</v>
      </c>
      <c r="G2726">
        <v>1.5</v>
      </c>
      <c r="H2726">
        <v>2.2000000000000002</v>
      </c>
      <c r="I2726">
        <v>1.45</v>
      </c>
      <c r="J2726">
        <v>0.05</v>
      </c>
      <c r="K2726">
        <v>0.05</v>
      </c>
    </row>
    <row r="2727" spans="1:11" x14ac:dyDescent="0.35">
      <c r="A2727" s="204">
        <v>43460</v>
      </c>
      <c r="B2727" s="544">
        <v>3.95</v>
      </c>
      <c r="C2727">
        <v>3.64</v>
      </c>
      <c r="D2727">
        <v>4.29</v>
      </c>
      <c r="E2727">
        <v>5.34</v>
      </c>
      <c r="F2727">
        <v>1.3</v>
      </c>
      <c r="G2727">
        <v>1.5</v>
      </c>
      <c r="H2727">
        <v>2.2000000000000002</v>
      </c>
      <c r="I2727">
        <v>1.45</v>
      </c>
      <c r="J2727">
        <v>0.05</v>
      </c>
      <c r="K2727">
        <v>0.05</v>
      </c>
    </row>
    <row r="2728" spans="1:11" x14ac:dyDescent="0.35">
      <c r="A2728" s="204">
        <v>43467</v>
      </c>
      <c r="B2728" s="544">
        <v>3.95</v>
      </c>
      <c r="C2728">
        <v>3.64</v>
      </c>
      <c r="D2728">
        <v>4.29</v>
      </c>
      <c r="E2728">
        <v>5.34</v>
      </c>
      <c r="F2728">
        <v>1.3</v>
      </c>
      <c r="G2728">
        <v>1.5</v>
      </c>
      <c r="H2728">
        <v>2.2000000000000002</v>
      </c>
      <c r="I2728">
        <v>1.45</v>
      </c>
      <c r="J2728">
        <v>0.05</v>
      </c>
      <c r="K2728">
        <v>0.05</v>
      </c>
    </row>
    <row r="2729" spans="1:11" x14ac:dyDescent="0.35">
      <c r="A2729" s="204">
        <v>43474</v>
      </c>
      <c r="B2729" s="544">
        <v>3.95</v>
      </c>
      <c r="C2729">
        <v>3.64</v>
      </c>
      <c r="D2729">
        <v>4.29</v>
      </c>
      <c r="E2729">
        <v>5.34</v>
      </c>
      <c r="F2729">
        <v>1.3</v>
      </c>
      <c r="G2729">
        <v>1.5</v>
      </c>
      <c r="H2729">
        <v>2.2000000000000002</v>
      </c>
      <c r="I2729">
        <v>1.45</v>
      </c>
      <c r="J2729">
        <v>0.05</v>
      </c>
      <c r="K2729">
        <v>0.05</v>
      </c>
    </row>
    <row r="2730" spans="1:11" x14ac:dyDescent="0.35">
      <c r="A2730" s="204">
        <v>43481</v>
      </c>
      <c r="B2730" s="544">
        <v>3.95</v>
      </c>
      <c r="C2730">
        <v>3.64</v>
      </c>
      <c r="D2730">
        <v>4.29</v>
      </c>
      <c r="E2730">
        <v>5.34</v>
      </c>
      <c r="F2730">
        <v>1.3</v>
      </c>
      <c r="G2730">
        <v>1.5</v>
      </c>
      <c r="H2730">
        <v>2.2000000000000002</v>
      </c>
      <c r="I2730">
        <v>1.45</v>
      </c>
      <c r="J2730">
        <v>0.05</v>
      </c>
      <c r="K2730">
        <v>0.05</v>
      </c>
    </row>
    <row r="2731" spans="1:11" x14ac:dyDescent="0.35">
      <c r="A2731" s="204">
        <v>43488</v>
      </c>
      <c r="B2731" s="544">
        <v>3.95</v>
      </c>
      <c r="C2731">
        <v>3.64</v>
      </c>
      <c r="D2731">
        <v>4.29</v>
      </c>
      <c r="E2731">
        <v>5.34</v>
      </c>
      <c r="F2731">
        <v>1.3</v>
      </c>
      <c r="G2731">
        <v>1.5</v>
      </c>
      <c r="H2731">
        <v>2.2000000000000002</v>
      </c>
      <c r="I2731">
        <v>1.45</v>
      </c>
      <c r="J2731">
        <v>0.05</v>
      </c>
      <c r="K2731">
        <v>0.05</v>
      </c>
    </row>
    <row r="2732" spans="1:11" x14ac:dyDescent="0.35">
      <c r="A2732" s="204">
        <v>43495</v>
      </c>
      <c r="B2732" s="544">
        <v>3.95</v>
      </c>
      <c r="C2732">
        <v>3.64</v>
      </c>
      <c r="D2732">
        <v>4.29</v>
      </c>
      <c r="E2732">
        <v>5.34</v>
      </c>
      <c r="F2732">
        <v>1.3</v>
      </c>
      <c r="G2732">
        <v>1.5</v>
      </c>
      <c r="H2732">
        <v>2.2000000000000002</v>
      </c>
      <c r="I2732">
        <v>1.45</v>
      </c>
      <c r="J2732">
        <v>0.05</v>
      </c>
      <c r="K2732">
        <v>0.05</v>
      </c>
    </row>
    <row r="2733" spans="1:11" x14ac:dyDescent="0.35">
      <c r="A2733" s="204">
        <v>43502</v>
      </c>
      <c r="B2733" s="544">
        <v>3.95</v>
      </c>
      <c r="C2733">
        <v>3.64</v>
      </c>
      <c r="D2733">
        <v>4.29</v>
      </c>
      <c r="E2733">
        <v>5.34</v>
      </c>
      <c r="F2733">
        <v>1.3</v>
      </c>
      <c r="G2733">
        <v>1.5</v>
      </c>
      <c r="H2733">
        <v>2.2000000000000002</v>
      </c>
      <c r="I2733">
        <v>1.45</v>
      </c>
      <c r="J2733">
        <v>0.05</v>
      </c>
      <c r="K2733">
        <v>0.05</v>
      </c>
    </row>
    <row r="2734" spans="1:11" x14ac:dyDescent="0.35">
      <c r="A2734" s="204">
        <v>43509</v>
      </c>
      <c r="B2734" s="544">
        <v>3.95</v>
      </c>
      <c r="C2734">
        <v>3.64</v>
      </c>
      <c r="D2734">
        <v>4.29</v>
      </c>
      <c r="E2734">
        <v>5.34</v>
      </c>
      <c r="F2734">
        <v>1.3</v>
      </c>
      <c r="G2734">
        <v>1.5</v>
      </c>
      <c r="H2734">
        <v>2.2000000000000002</v>
      </c>
      <c r="I2734">
        <v>1.45</v>
      </c>
      <c r="J2734">
        <v>0.05</v>
      </c>
      <c r="K2734">
        <v>0.05</v>
      </c>
    </row>
    <row r="2735" spans="1:11" x14ac:dyDescent="0.35">
      <c r="A2735" s="204">
        <v>43516</v>
      </c>
      <c r="B2735" s="544">
        <v>3.95</v>
      </c>
      <c r="C2735">
        <v>3.64</v>
      </c>
      <c r="D2735">
        <v>4.29</v>
      </c>
      <c r="E2735">
        <v>5.34</v>
      </c>
      <c r="F2735">
        <v>1.3</v>
      </c>
      <c r="G2735">
        <v>1.5</v>
      </c>
      <c r="H2735">
        <v>2.2000000000000002</v>
      </c>
      <c r="I2735">
        <v>1.45</v>
      </c>
      <c r="J2735">
        <v>0.05</v>
      </c>
      <c r="K2735">
        <v>0.05</v>
      </c>
    </row>
    <row r="2736" spans="1:11" x14ac:dyDescent="0.35">
      <c r="A2736" s="204">
        <v>43523</v>
      </c>
      <c r="B2736" s="544">
        <v>3.95</v>
      </c>
      <c r="C2736">
        <v>3.64</v>
      </c>
      <c r="D2736">
        <v>4.29</v>
      </c>
      <c r="E2736">
        <v>5.34</v>
      </c>
      <c r="F2736">
        <v>1.3</v>
      </c>
      <c r="G2736">
        <v>1.5</v>
      </c>
      <c r="H2736">
        <v>2.2000000000000002</v>
      </c>
      <c r="I2736">
        <v>1.45</v>
      </c>
      <c r="J2736">
        <v>0.05</v>
      </c>
      <c r="K2736">
        <v>0.05</v>
      </c>
    </row>
    <row r="2737" spans="1:11" x14ac:dyDescent="0.35">
      <c r="A2737" s="204">
        <v>43530</v>
      </c>
      <c r="B2737" s="544">
        <v>3.95</v>
      </c>
      <c r="C2737">
        <v>3.64</v>
      </c>
      <c r="D2737">
        <v>4.29</v>
      </c>
      <c r="E2737">
        <v>5.34</v>
      </c>
      <c r="F2737">
        <v>1.3</v>
      </c>
      <c r="G2737">
        <v>1.5</v>
      </c>
      <c r="H2737">
        <v>2.2000000000000002</v>
      </c>
      <c r="I2737">
        <v>1.45</v>
      </c>
      <c r="J2737">
        <v>0.05</v>
      </c>
      <c r="K2737">
        <v>0.05</v>
      </c>
    </row>
    <row r="2738" spans="1:11" x14ac:dyDescent="0.35">
      <c r="A2738" s="204">
        <v>43537</v>
      </c>
      <c r="B2738" s="544">
        <v>3.95</v>
      </c>
      <c r="C2738">
        <v>3.64</v>
      </c>
      <c r="D2738">
        <v>4.29</v>
      </c>
      <c r="E2738">
        <v>5.34</v>
      </c>
      <c r="F2738">
        <v>1.3</v>
      </c>
      <c r="G2738">
        <v>1.5</v>
      </c>
      <c r="H2738">
        <v>2.2000000000000002</v>
      </c>
      <c r="I2738">
        <v>1.45</v>
      </c>
      <c r="J2738">
        <v>0.05</v>
      </c>
      <c r="K2738">
        <v>0.05</v>
      </c>
    </row>
    <row r="2739" spans="1:11" x14ac:dyDescent="0.35">
      <c r="A2739" s="204">
        <v>43544</v>
      </c>
      <c r="B2739" s="544">
        <v>3.95</v>
      </c>
      <c r="C2739">
        <v>3.64</v>
      </c>
      <c r="D2739">
        <v>4.29</v>
      </c>
      <c r="E2739">
        <v>5.34</v>
      </c>
      <c r="F2739">
        <v>1.3</v>
      </c>
      <c r="G2739">
        <v>1.5</v>
      </c>
      <c r="H2739">
        <v>2.2000000000000002</v>
      </c>
      <c r="I2739">
        <v>1.45</v>
      </c>
      <c r="J2739">
        <v>0.05</v>
      </c>
      <c r="K2739">
        <v>0.05</v>
      </c>
    </row>
    <row r="2740" spans="1:11" x14ac:dyDescent="0.35">
      <c r="A2740" s="204">
        <v>43551</v>
      </c>
      <c r="B2740" s="544">
        <v>3.95</v>
      </c>
      <c r="C2740">
        <v>3.64</v>
      </c>
      <c r="D2740">
        <v>4.29</v>
      </c>
      <c r="E2740">
        <v>5.34</v>
      </c>
      <c r="F2740">
        <v>1.3</v>
      </c>
      <c r="G2740">
        <v>1.5</v>
      </c>
      <c r="H2740">
        <v>2.2000000000000002</v>
      </c>
      <c r="I2740">
        <v>1.45</v>
      </c>
      <c r="J2740">
        <v>0.05</v>
      </c>
      <c r="K2740">
        <v>0.05</v>
      </c>
    </row>
    <row r="2741" spans="1:11" x14ac:dyDescent="0.35">
      <c r="A2741" s="204">
        <v>43558</v>
      </c>
      <c r="B2741" s="544">
        <v>3.95</v>
      </c>
      <c r="C2741">
        <v>3.64</v>
      </c>
      <c r="D2741">
        <v>4.29</v>
      </c>
      <c r="E2741">
        <v>5.34</v>
      </c>
      <c r="F2741">
        <v>1.3</v>
      </c>
      <c r="G2741">
        <v>1.5</v>
      </c>
      <c r="H2741">
        <v>2.2000000000000002</v>
      </c>
      <c r="I2741">
        <v>1.45</v>
      </c>
      <c r="J2741">
        <v>0.05</v>
      </c>
      <c r="K2741">
        <v>0.05</v>
      </c>
    </row>
    <row r="2742" spans="1:11" x14ac:dyDescent="0.35">
      <c r="A2742" s="204">
        <v>43565</v>
      </c>
      <c r="B2742" s="544">
        <v>3.95</v>
      </c>
      <c r="C2742">
        <v>3.64</v>
      </c>
      <c r="D2742">
        <v>4.29</v>
      </c>
      <c r="E2742">
        <v>5.34</v>
      </c>
      <c r="F2742">
        <v>1.35</v>
      </c>
      <c r="G2742">
        <v>1.55</v>
      </c>
      <c r="H2742">
        <v>2.2000000000000002</v>
      </c>
      <c r="I2742">
        <v>1.45</v>
      </c>
      <c r="J2742">
        <v>0.05</v>
      </c>
      <c r="K2742">
        <v>0.05</v>
      </c>
    </row>
    <row r="2743" spans="1:11" x14ac:dyDescent="0.35">
      <c r="A2743" s="204">
        <v>43572</v>
      </c>
      <c r="B2743" s="544">
        <v>3.95</v>
      </c>
      <c r="C2743">
        <v>3.64</v>
      </c>
      <c r="D2743">
        <v>4.29</v>
      </c>
      <c r="E2743">
        <v>5.34</v>
      </c>
      <c r="F2743">
        <v>1.35</v>
      </c>
      <c r="G2743">
        <v>1.55</v>
      </c>
      <c r="H2743">
        <v>2.2000000000000002</v>
      </c>
      <c r="I2743">
        <v>1.45</v>
      </c>
      <c r="J2743">
        <v>0.05</v>
      </c>
      <c r="K2743">
        <v>0.05</v>
      </c>
    </row>
    <row r="2744" spans="1:11" x14ac:dyDescent="0.35">
      <c r="A2744" s="204">
        <v>43579</v>
      </c>
      <c r="B2744" s="544">
        <v>3.95</v>
      </c>
      <c r="C2744">
        <v>3.64</v>
      </c>
      <c r="D2744">
        <v>4.29</v>
      </c>
      <c r="E2744">
        <v>5.34</v>
      </c>
      <c r="F2744">
        <v>1.35</v>
      </c>
      <c r="G2744">
        <v>1.55</v>
      </c>
      <c r="H2744">
        <v>2.2000000000000002</v>
      </c>
      <c r="I2744">
        <v>1.45</v>
      </c>
      <c r="J2744">
        <v>0.05</v>
      </c>
      <c r="K2744">
        <v>0.05</v>
      </c>
    </row>
    <row r="2745" spans="1:11" x14ac:dyDescent="0.35">
      <c r="A2745" s="204">
        <v>43586</v>
      </c>
      <c r="B2745" s="544">
        <v>3.95</v>
      </c>
      <c r="C2745">
        <v>3.64</v>
      </c>
      <c r="D2745">
        <v>4.29</v>
      </c>
      <c r="E2745">
        <v>5.34</v>
      </c>
      <c r="F2745">
        <v>1.35</v>
      </c>
      <c r="G2745">
        <v>1.55</v>
      </c>
      <c r="H2745">
        <v>2.2000000000000002</v>
      </c>
      <c r="I2745">
        <v>1.45</v>
      </c>
      <c r="J2745">
        <v>0.05</v>
      </c>
      <c r="K2745">
        <v>0.05</v>
      </c>
    </row>
    <row r="2746" spans="1:11" x14ac:dyDescent="0.35">
      <c r="A2746" s="204">
        <v>43593</v>
      </c>
      <c r="B2746" s="544">
        <v>3.95</v>
      </c>
      <c r="C2746">
        <v>3.64</v>
      </c>
      <c r="D2746">
        <v>4.29</v>
      </c>
      <c r="E2746">
        <v>5.34</v>
      </c>
      <c r="F2746">
        <v>1.35</v>
      </c>
      <c r="G2746">
        <v>1.55</v>
      </c>
      <c r="H2746">
        <v>2.2000000000000002</v>
      </c>
      <c r="I2746">
        <v>1.45</v>
      </c>
      <c r="J2746">
        <v>0.05</v>
      </c>
      <c r="K2746">
        <v>0.05</v>
      </c>
    </row>
    <row r="2747" spans="1:11" x14ac:dyDescent="0.35">
      <c r="A2747" s="204">
        <v>43600</v>
      </c>
      <c r="B2747" s="544">
        <v>3.95</v>
      </c>
      <c r="C2747">
        <v>3.64</v>
      </c>
      <c r="D2747">
        <v>4.29</v>
      </c>
      <c r="E2747">
        <v>5.34</v>
      </c>
      <c r="F2747">
        <v>1.35</v>
      </c>
      <c r="G2747">
        <v>1.55</v>
      </c>
      <c r="H2747">
        <v>2.2000000000000002</v>
      </c>
      <c r="I2747">
        <v>1.45</v>
      </c>
      <c r="J2747">
        <v>0.05</v>
      </c>
      <c r="K2747">
        <v>0.05</v>
      </c>
    </row>
    <row r="2748" spans="1:11" x14ac:dyDescent="0.35">
      <c r="A2748" s="204">
        <v>43607</v>
      </c>
      <c r="B2748" s="544">
        <v>3.95</v>
      </c>
      <c r="C2748">
        <v>3.64</v>
      </c>
      <c r="D2748">
        <v>4.29</v>
      </c>
      <c r="E2748">
        <v>5.34</v>
      </c>
      <c r="F2748">
        <v>1.35</v>
      </c>
      <c r="G2748">
        <v>1.55</v>
      </c>
      <c r="H2748">
        <v>2.2000000000000002</v>
      </c>
      <c r="I2748">
        <v>1.45</v>
      </c>
      <c r="J2748">
        <v>0.05</v>
      </c>
      <c r="K2748">
        <v>0.05</v>
      </c>
    </row>
    <row r="2749" spans="1:11" x14ac:dyDescent="0.35">
      <c r="A2749" s="204">
        <v>43614</v>
      </c>
      <c r="B2749" s="544">
        <v>3.95</v>
      </c>
      <c r="C2749">
        <v>3.64</v>
      </c>
      <c r="D2749">
        <v>4.29</v>
      </c>
      <c r="E2749">
        <v>5.34</v>
      </c>
      <c r="F2749">
        <v>1.35</v>
      </c>
      <c r="G2749">
        <v>1.55</v>
      </c>
      <c r="H2749">
        <v>2.2000000000000002</v>
      </c>
      <c r="I2749">
        <v>1.45</v>
      </c>
      <c r="J2749">
        <v>0.05</v>
      </c>
      <c r="K2749">
        <v>0.05</v>
      </c>
    </row>
    <row r="2750" spans="1:11" x14ac:dyDescent="0.35">
      <c r="A2750" s="204">
        <v>43621</v>
      </c>
      <c r="B2750" s="544">
        <v>3.95</v>
      </c>
      <c r="C2750">
        <v>3.64</v>
      </c>
      <c r="D2750">
        <v>4.29</v>
      </c>
      <c r="E2750">
        <v>5.34</v>
      </c>
      <c r="F2750">
        <v>1.35</v>
      </c>
      <c r="G2750">
        <v>1.55</v>
      </c>
      <c r="H2750">
        <v>2.2000000000000002</v>
      </c>
      <c r="I2750">
        <v>1.45</v>
      </c>
      <c r="J2750">
        <v>0.05</v>
      </c>
      <c r="K2750">
        <v>0.05</v>
      </c>
    </row>
    <row r="2751" spans="1:11" x14ac:dyDescent="0.35">
      <c r="A2751" s="204">
        <v>43628</v>
      </c>
      <c r="B2751" s="544">
        <v>3.95</v>
      </c>
      <c r="C2751">
        <v>3.64</v>
      </c>
      <c r="D2751">
        <v>4.29</v>
      </c>
      <c r="E2751">
        <v>5.34</v>
      </c>
      <c r="F2751">
        <v>1.35</v>
      </c>
      <c r="G2751">
        <v>1.55</v>
      </c>
      <c r="H2751">
        <v>2.2000000000000002</v>
      </c>
      <c r="I2751">
        <v>1.45</v>
      </c>
      <c r="J2751">
        <v>0.05</v>
      </c>
      <c r="K2751">
        <v>0.05</v>
      </c>
    </row>
    <row r="2752" spans="1:11" x14ac:dyDescent="0.35">
      <c r="A2752" s="204">
        <v>43635</v>
      </c>
      <c r="B2752" s="544">
        <v>3.95</v>
      </c>
      <c r="C2752">
        <v>3.64</v>
      </c>
      <c r="D2752">
        <v>4.29</v>
      </c>
      <c r="E2752">
        <v>5.34</v>
      </c>
      <c r="F2752">
        <v>1.35</v>
      </c>
      <c r="G2752">
        <v>1.8</v>
      </c>
      <c r="H2752">
        <v>1.9</v>
      </c>
      <c r="I2752">
        <v>1.45</v>
      </c>
      <c r="J2752">
        <v>0.05</v>
      </c>
      <c r="K2752">
        <v>0.05</v>
      </c>
    </row>
    <row r="2753" spans="1:11" x14ac:dyDescent="0.35">
      <c r="A2753" s="204">
        <v>43642</v>
      </c>
      <c r="B2753" s="544">
        <v>3.95</v>
      </c>
      <c r="C2753">
        <v>3.64</v>
      </c>
      <c r="D2753">
        <v>4.29</v>
      </c>
      <c r="E2753">
        <v>5.34</v>
      </c>
      <c r="F2753">
        <v>1.35</v>
      </c>
      <c r="G2753">
        <v>1.8</v>
      </c>
      <c r="H2753">
        <v>1.9</v>
      </c>
      <c r="I2753">
        <v>1.45</v>
      </c>
      <c r="J2753">
        <v>0.05</v>
      </c>
      <c r="K2753">
        <v>0.05</v>
      </c>
    </row>
    <row r="2754" spans="1:11" x14ac:dyDescent="0.35">
      <c r="A2754" s="204">
        <v>43649</v>
      </c>
      <c r="B2754" s="544">
        <v>3.95</v>
      </c>
      <c r="C2754">
        <v>3.64</v>
      </c>
      <c r="D2754">
        <v>4.29</v>
      </c>
      <c r="E2754">
        <v>5.34</v>
      </c>
      <c r="F2754">
        <v>1.35</v>
      </c>
      <c r="G2754">
        <v>1.8</v>
      </c>
      <c r="H2754">
        <v>1.9</v>
      </c>
      <c r="I2754">
        <v>1.45</v>
      </c>
      <c r="J2754">
        <v>0.05</v>
      </c>
      <c r="K2754">
        <v>0.05</v>
      </c>
    </row>
    <row r="2755" spans="1:11" x14ac:dyDescent="0.35">
      <c r="A2755" s="204">
        <v>43656</v>
      </c>
      <c r="B2755" s="544">
        <v>3.95</v>
      </c>
      <c r="C2755">
        <v>3.64</v>
      </c>
      <c r="D2755">
        <v>4.29</v>
      </c>
      <c r="E2755">
        <v>5.34</v>
      </c>
      <c r="F2755">
        <v>1.35</v>
      </c>
      <c r="G2755">
        <v>1.8</v>
      </c>
      <c r="H2755">
        <v>1.9</v>
      </c>
      <c r="I2755">
        <v>1.45</v>
      </c>
      <c r="J2755">
        <v>0.05</v>
      </c>
      <c r="K2755">
        <v>0.05</v>
      </c>
    </row>
    <row r="2756" spans="1:11" x14ac:dyDescent="0.35">
      <c r="A2756" s="204">
        <v>43663</v>
      </c>
      <c r="B2756" s="544">
        <v>3.95</v>
      </c>
      <c r="C2756">
        <v>3.64</v>
      </c>
      <c r="D2756">
        <v>4.29</v>
      </c>
      <c r="E2756">
        <v>5.19</v>
      </c>
      <c r="F2756">
        <v>1.35</v>
      </c>
      <c r="G2756">
        <v>1.8</v>
      </c>
      <c r="H2756">
        <v>1.9</v>
      </c>
      <c r="I2756">
        <v>1.45</v>
      </c>
      <c r="J2756">
        <v>0.05</v>
      </c>
      <c r="K2756">
        <v>0.05</v>
      </c>
    </row>
    <row r="2757" spans="1:11" x14ac:dyDescent="0.35">
      <c r="A2757" s="204">
        <v>43670</v>
      </c>
      <c r="B2757" s="544">
        <v>3.95</v>
      </c>
      <c r="C2757">
        <v>3.64</v>
      </c>
      <c r="D2757">
        <v>4.29</v>
      </c>
      <c r="E2757">
        <v>5.19</v>
      </c>
      <c r="F2757">
        <v>1.35</v>
      </c>
      <c r="G2757">
        <v>1.8</v>
      </c>
      <c r="H2757">
        <v>1.9</v>
      </c>
      <c r="I2757">
        <v>1.45</v>
      </c>
      <c r="J2757">
        <v>0.05</v>
      </c>
      <c r="K2757">
        <v>0.05</v>
      </c>
    </row>
    <row r="2758" spans="1:11" x14ac:dyDescent="0.35">
      <c r="A2758" s="204">
        <v>43677</v>
      </c>
      <c r="B2758" s="544">
        <v>3.95</v>
      </c>
      <c r="C2758">
        <v>3.64</v>
      </c>
      <c r="D2758">
        <v>4.29</v>
      </c>
      <c r="E2758">
        <v>5.19</v>
      </c>
      <c r="F2758">
        <v>1.35</v>
      </c>
      <c r="G2758">
        <v>1.8</v>
      </c>
      <c r="H2758">
        <v>2</v>
      </c>
      <c r="I2758">
        <v>1.45</v>
      </c>
      <c r="J2758">
        <v>0.05</v>
      </c>
      <c r="K2758">
        <v>0.05</v>
      </c>
    </row>
    <row r="2759" spans="1:11" x14ac:dyDescent="0.35">
      <c r="A2759" s="204">
        <v>43684</v>
      </c>
      <c r="B2759" s="544">
        <v>3.95</v>
      </c>
      <c r="C2759">
        <v>3.64</v>
      </c>
      <c r="D2759">
        <v>4.29</v>
      </c>
      <c r="E2759">
        <v>5.19</v>
      </c>
      <c r="F2759">
        <v>1.35</v>
      </c>
      <c r="G2759">
        <v>1.8</v>
      </c>
      <c r="H2759">
        <v>2</v>
      </c>
      <c r="I2759">
        <v>1.45</v>
      </c>
      <c r="J2759">
        <v>0.05</v>
      </c>
      <c r="K2759">
        <v>0.05</v>
      </c>
    </row>
    <row r="2760" spans="1:11" x14ac:dyDescent="0.35">
      <c r="A2760" s="204">
        <v>43691</v>
      </c>
      <c r="B2760" s="544">
        <v>3.95</v>
      </c>
      <c r="C2760">
        <v>3.64</v>
      </c>
      <c r="D2760">
        <v>4.29</v>
      </c>
      <c r="E2760">
        <v>5.19</v>
      </c>
      <c r="F2760">
        <v>1.35</v>
      </c>
      <c r="G2760">
        <v>1.8</v>
      </c>
      <c r="H2760">
        <v>2</v>
      </c>
      <c r="I2760">
        <v>1.45</v>
      </c>
      <c r="J2760">
        <v>0.05</v>
      </c>
      <c r="K2760">
        <v>0.05</v>
      </c>
    </row>
    <row r="2761" spans="1:11" x14ac:dyDescent="0.35">
      <c r="A2761" s="204">
        <v>43698</v>
      </c>
      <c r="B2761" s="544">
        <v>3.95</v>
      </c>
      <c r="C2761">
        <v>3.64</v>
      </c>
      <c r="D2761">
        <v>4.29</v>
      </c>
      <c r="E2761">
        <v>5.19</v>
      </c>
      <c r="F2761">
        <v>1.35</v>
      </c>
      <c r="G2761">
        <v>1.8</v>
      </c>
      <c r="H2761">
        <v>2</v>
      </c>
      <c r="I2761">
        <v>1.45</v>
      </c>
      <c r="J2761">
        <v>0.05</v>
      </c>
      <c r="K2761">
        <v>0.05</v>
      </c>
    </row>
    <row r="2762" spans="1:11" x14ac:dyDescent="0.35">
      <c r="A2762" s="204">
        <v>43705</v>
      </c>
      <c r="B2762" s="544">
        <v>3.95</v>
      </c>
      <c r="C2762">
        <v>3.64</v>
      </c>
      <c r="D2762">
        <v>3.94</v>
      </c>
      <c r="E2762">
        <v>5.19</v>
      </c>
      <c r="F2762">
        <v>1.35</v>
      </c>
      <c r="G2762">
        <v>1.8</v>
      </c>
      <c r="H2762">
        <v>2</v>
      </c>
      <c r="I2762">
        <v>1.45</v>
      </c>
      <c r="J2762">
        <v>0.05</v>
      </c>
      <c r="K2762">
        <v>0.05</v>
      </c>
    </row>
    <row r="2763" spans="1:11" x14ac:dyDescent="0.35">
      <c r="A2763" s="204">
        <v>43712</v>
      </c>
      <c r="B2763" s="544">
        <v>3.95</v>
      </c>
      <c r="C2763">
        <v>3.64</v>
      </c>
      <c r="D2763">
        <v>3.94</v>
      </c>
      <c r="E2763">
        <v>5.19</v>
      </c>
      <c r="F2763">
        <v>1.35</v>
      </c>
      <c r="G2763">
        <v>1.8</v>
      </c>
      <c r="H2763">
        <v>2</v>
      </c>
      <c r="I2763">
        <v>1.45</v>
      </c>
      <c r="J2763">
        <v>0.05</v>
      </c>
      <c r="K2763">
        <v>0.05</v>
      </c>
    </row>
    <row r="2764" spans="1:11" x14ac:dyDescent="0.35">
      <c r="A2764" s="204">
        <v>43719</v>
      </c>
      <c r="B2764" s="544">
        <v>3.95</v>
      </c>
      <c r="C2764">
        <v>3.64</v>
      </c>
      <c r="D2764">
        <v>3.94</v>
      </c>
      <c r="E2764">
        <v>5.19</v>
      </c>
      <c r="F2764">
        <v>1.35</v>
      </c>
      <c r="G2764">
        <v>1.8</v>
      </c>
      <c r="H2764">
        <v>2</v>
      </c>
      <c r="I2764">
        <v>1.45</v>
      </c>
      <c r="J2764">
        <v>0.05</v>
      </c>
      <c r="K2764">
        <v>0.05</v>
      </c>
    </row>
    <row r="2765" spans="1:11" x14ac:dyDescent="0.35">
      <c r="A2765" s="204">
        <v>43726</v>
      </c>
      <c r="B2765" s="544">
        <v>3.95</v>
      </c>
      <c r="C2765">
        <v>3.64</v>
      </c>
      <c r="D2765">
        <v>3.94</v>
      </c>
      <c r="E2765">
        <v>5.19</v>
      </c>
      <c r="F2765">
        <v>1.35</v>
      </c>
      <c r="G2765">
        <v>1.8</v>
      </c>
      <c r="H2765">
        <v>2</v>
      </c>
      <c r="I2765">
        <v>1.45</v>
      </c>
      <c r="J2765">
        <v>0.05</v>
      </c>
      <c r="K2765">
        <v>0.05</v>
      </c>
    </row>
    <row r="2766" spans="1:11" x14ac:dyDescent="0.35">
      <c r="A2766" s="204">
        <v>43733</v>
      </c>
      <c r="B2766" s="544">
        <v>3.95</v>
      </c>
      <c r="C2766">
        <v>3.64</v>
      </c>
      <c r="D2766">
        <v>3.94</v>
      </c>
      <c r="E2766">
        <v>5.19</v>
      </c>
      <c r="F2766">
        <v>1.35</v>
      </c>
      <c r="G2766">
        <v>1.8</v>
      </c>
      <c r="H2766">
        <v>2</v>
      </c>
      <c r="I2766">
        <v>1.45</v>
      </c>
      <c r="J2766">
        <v>0.05</v>
      </c>
      <c r="K2766">
        <v>0.05</v>
      </c>
    </row>
    <row r="2767" spans="1:11" x14ac:dyDescent="0.35">
      <c r="A2767" s="204">
        <v>43740</v>
      </c>
      <c r="B2767" s="544">
        <v>3.95</v>
      </c>
      <c r="C2767">
        <v>3.64</v>
      </c>
      <c r="D2767">
        <v>3.94</v>
      </c>
      <c r="E2767">
        <v>5.19</v>
      </c>
      <c r="F2767">
        <v>1.35</v>
      </c>
      <c r="G2767">
        <v>1.8</v>
      </c>
      <c r="H2767">
        <v>2</v>
      </c>
      <c r="I2767">
        <v>1.45</v>
      </c>
      <c r="J2767">
        <v>0.05</v>
      </c>
      <c r="K2767">
        <v>0.05</v>
      </c>
    </row>
    <row r="2768" spans="1:11" x14ac:dyDescent="0.35">
      <c r="A2768" s="204">
        <v>43747</v>
      </c>
      <c r="B2768" s="544">
        <v>3.95</v>
      </c>
      <c r="C2768">
        <v>3.64</v>
      </c>
      <c r="D2768">
        <v>3.94</v>
      </c>
      <c r="E2768">
        <v>5.19</v>
      </c>
      <c r="F2768">
        <v>1.35</v>
      </c>
      <c r="G2768">
        <v>1.8</v>
      </c>
      <c r="H2768">
        <v>2</v>
      </c>
      <c r="I2768">
        <v>1.45</v>
      </c>
      <c r="J2768">
        <v>0.05</v>
      </c>
      <c r="K2768">
        <v>0.05</v>
      </c>
    </row>
    <row r="2769" spans="1:11" x14ac:dyDescent="0.35">
      <c r="A2769" s="204">
        <v>43754</v>
      </c>
      <c r="B2769" s="544">
        <v>3.95</v>
      </c>
      <c r="C2769">
        <v>3.64</v>
      </c>
      <c r="D2769">
        <v>3.94</v>
      </c>
      <c r="E2769">
        <v>5.19</v>
      </c>
      <c r="F2769">
        <v>1.35</v>
      </c>
      <c r="G2769">
        <v>1.8</v>
      </c>
      <c r="H2769">
        <v>2</v>
      </c>
      <c r="I2769">
        <v>1.45</v>
      </c>
      <c r="J2769">
        <v>0.05</v>
      </c>
      <c r="K2769">
        <v>0.05</v>
      </c>
    </row>
    <row r="2770" spans="1:11" x14ac:dyDescent="0.35">
      <c r="A2770" s="204">
        <v>43761</v>
      </c>
      <c r="B2770" s="544">
        <v>3.95</v>
      </c>
      <c r="C2770">
        <v>3.64</v>
      </c>
      <c r="D2770">
        <v>3.94</v>
      </c>
      <c r="E2770">
        <v>5.19</v>
      </c>
      <c r="F2770">
        <v>1.35</v>
      </c>
      <c r="G2770">
        <v>1.8</v>
      </c>
      <c r="H2770">
        <v>2</v>
      </c>
      <c r="I2770">
        <v>1.45</v>
      </c>
      <c r="J2770">
        <v>0.05</v>
      </c>
      <c r="K2770">
        <v>0.05</v>
      </c>
    </row>
    <row r="2771" spans="1:11" x14ac:dyDescent="0.35">
      <c r="A2771" s="204">
        <v>43768</v>
      </c>
      <c r="B2771" s="544">
        <v>3.95</v>
      </c>
      <c r="C2771">
        <v>3.64</v>
      </c>
      <c r="D2771">
        <v>3.94</v>
      </c>
      <c r="E2771">
        <v>5.19</v>
      </c>
      <c r="F2771">
        <v>1.35</v>
      </c>
      <c r="G2771">
        <v>1.8</v>
      </c>
      <c r="H2771">
        <v>2</v>
      </c>
      <c r="I2771">
        <v>1.45</v>
      </c>
      <c r="J2771">
        <v>0.05</v>
      </c>
      <c r="K2771">
        <v>0.05</v>
      </c>
    </row>
    <row r="2772" spans="1:11" x14ac:dyDescent="0.35">
      <c r="A2772" s="204">
        <v>43775</v>
      </c>
      <c r="B2772" s="544">
        <v>3.95</v>
      </c>
      <c r="C2772">
        <v>3.64</v>
      </c>
      <c r="D2772">
        <v>3.94</v>
      </c>
      <c r="E2772">
        <v>5.19</v>
      </c>
      <c r="F2772">
        <v>1.35</v>
      </c>
      <c r="G2772">
        <v>1.8</v>
      </c>
      <c r="H2772">
        <v>2</v>
      </c>
      <c r="I2772">
        <v>1.45</v>
      </c>
      <c r="J2772">
        <v>0.05</v>
      </c>
      <c r="K2772">
        <v>0.05</v>
      </c>
    </row>
    <row r="2773" spans="1:11" x14ac:dyDescent="0.35">
      <c r="A2773" s="204">
        <v>43782</v>
      </c>
      <c r="B2773" s="544">
        <v>3.95</v>
      </c>
      <c r="C2773">
        <v>3.64</v>
      </c>
      <c r="D2773">
        <v>3.94</v>
      </c>
      <c r="E2773">
        <v>5.19</v>
      </c>
      <c r="F2773">
        <v>1.35</v>
      </c>
      <c r="G2773">
        <v>1.8</v>
      </c>
      <c r="H2773">
        <v>2</v>
      </c>
      <c r="I2773">
        <v>1.45</v>
      </c>
      <c r="J2773">
        <v>0.05</v>
      </c>
      <c r="K2773">
        <v>0.05</v>
      </c>
    </row>
    <row r="2774" spans="1:11" x14ac:dyDescent="0.35">
      <c r="A2774" s="204">
        <v>43789</v>
      </c>
      <c r="B2774" s="544">
        <v>3.95</v>
      </c>
      <c r="C2774">
        <v>3.64</v>
      </c>
      <c r="D2774">
        <v>3.94</v>
      </c>
      <c r="E2774">
        <v>5.19</v>
      </c>
      <c r="F2774">
        <v>1.35</v>
      </c>
      <c r="G2774">
        <v>1.8</v>
      </c>
      <c r="H2774">
        <v>2</v>
      </c>
      <c r="I2774">
        <v>1.45</v>
      </c>
      <c r="J2774">
        <v>0.05</v>
      </c>
      <c r="K2774">
        <v>0.05</v>
      </c>
    </row>
    <row r="2775" spans="1:11" x14ac:dyDescent="0.35">
      <c r="A2775" s="204">
        <v>43796</v>
      </c>
      <c r="B2775" s="544">
        <v>3.95</v>
      </c>
      <c r="C2775">
        <v>3.64</v>
      </c>
      <c r="D2775">
        <v>3.94</v>
      </c>
      <c r="E2775">
        <v>5.19</v>
      </c>
      <c r="F2775">
        <v>1.35</v>
      </c>
      <c r="G2775">
        <v>1.8</v>
      </c>
      <c r="H2775">
        <v>2</v>
      </c>
      <c r="I2775">
        <v>1.45</v>
      </c>
      <c r="J2775">
        <v>0.05</v>
      </c>
      <c r="K2775">
        <v>0.05</v>
      </c>
    </row>
    <row r="2776" spans="1:11" x14ac:dyDescent="0.35">
      <c r="A2776" s="204">
        <v>43803</v>
      </c>
      <c r="B2776" s="544">
        <v>3.95</v>
      </c>
      <c r="C2776">
        <v>3.64</v>
      </c>
      <c r="D2776">
        <v>3.94</v>
      </c>
      <c r="E2776">
        <v>5.19</v>
      </c>
      <c r="F2776">
        <v>1.35</v>
      </c>
      <c r="G2776">
        <v>1.8</v>
      </c>
      <c r="H2776">
        <v>2</v>
      </c>
      <c r="I2776">
        <v>1.45</v>
      </c>
      <c r="J2776">
        <v>0.05</v>
      </c>
      <c r="K2776">
        <v>0.05</v>
      </c>
    </row>
    <row r="2777" spans="1:11" x14ac:dyDescent="0.35">
      <c r="A2777" s="204">
        <v>43810</v>
      </c>
      <c r="B2777" s="544">
        <v>3.95</v>
      </c>
      <c r="C2777">
        <v>3.64</v>
      </c>
      <c r="D2777">
        <v>3.94</v>
      </c>
      <c r="E2777">
        <v>5.19</v>
      </c>
      <c r="F2777">
        <v>1.35</v>
      </c>
      <c r="G2777">
        <v>1.8</v>
      </c>
      <c r="H2777">
        <v>2</v>
      </c>
      <c r="I2777">
        <v>1.45</v>
      </c>
      <c r="J2777">
        <v>0.05</v>
      </c>
      <c r="K2777">
        <v>0.05</v>
      </c>
    </row>
    <row r="2778" spans="1:11" x14ac:dyDescent="0.35">
      <c r="A2778" s="204">
        <v>43817</v>
      </c>
      <c r="B2778" s="544">
        <v>3.95</v>
      </c>
      <c r="C2778">
        <v>3.64</v>
      </c>
      <c r="D2778">
        <v>3.94</v>
      </c>
      <c r="E2778">
        <v>5.19</v>
      </c>
      <c r="F2778">
        <v>1.35</v>
      </c>
      <c r="G2778">
        <v>1.8</v>
      </c>
      <c r="H2778">
        <v>2</v>
      </c>
      <c r="I2778">
        <v>1.45</v>
      </c>
      <c r="J2778">
        <v>0.05</v>
      </c>
      <c r="K2778">
        <v>0.05</v>
      </c>
    </row>
    <row r="2779" spans="1:11" x14ac:dyDescent="0.35">
      <c r="A2779" s="204">
        <v>43824</v>
      </c>
      <c r="B2779" s="544">
        <v>3.95</v>
      </c>
      <c r="C2779">
        <v>3.64</v>
      </c>
      <c r="D2779">
        <v>3.94</v>
      </c>
      <c r="E2779">
        <v>5.19</v>
      </c>
      <c r="F2779">
        <v>1.35</v>
      </c>
      <c r="G2779">
        <v>1.8</v>
      </c>
      <c r="H2779">
        <v>2</v>
      </c>
      <c r="I2779">
        <v>1.45</v>
      </c>
      <c r="J2779">
        <v>0.05</v>
      </c>
      <c r="K2779">
        <v>0.05</v>
      </c>
    </row>
    <row r="2780" spans="1:11" x14ac:dyDescent="0.35">
      <c r="A2780" s="204">
        <v>43831</v>
      </c>
      <c r="B2780" s="544">
        <v>3.95</v>
      </c>
      <c r="C2780">
        <v>3.64</v>
      </c>
      <c r="D2780">
        <v>3.94</v>
      </c>
      <c r="E2780">
        <v>5.19</v>
      </c>
      <c r="F2780">
        <v>1.35</v>
      </c>
      <c r="G2780">
        <v>1.8</v>
      </c>
      <c r="H2780">
        <v>2</v>
      </c>
      <c r="I2780">
        <v>1.45</v>
      </c>
      <c r="J2780">
        <v>0.05</v>
      </c>
      <c r="K2780">
        <v>0.05</v>
      </c>
    </row>
    <row r="2781" spans="1:11" x14ac:dyDescent="0.35">
      <c r="A2781" s="204">
        <v>43838</v>
      </c>
      <c r="B2781" s="544">
        <v>3.95</v>
      </c>
      <c r="C2781">
        <v>3.64</v>
      </c>
      <c r="D2781">
        <v>3.94</v>
      </c>
      <c r="E2781">
        <v>5.19</v>
      </c>
      <c r="F2781">
        <v>1.35</v>
      </c>
      <c r="G2781">
        <v>1.8</v>
      </c>
      <c r="H2781">
        <v>2</v>
      </c>
      <c r="I2781">
        <v>1.45</v>
      </c>
      <c r="J2781">
        <v>0.05</v>
      </c>
      <c r="K2781">
        <v>0.05</v>
      </c>
    </row>
    <row r="2782" spans="1:11" x14ac:dyDescent="0.35">
      <c r="A2782" s="204">
        <v>43845</v>
      </c>
      <c r="B2782" s="544">
        <v>3.95</v>
      </c>
      <c r="C2782">
        <v>3.64</v>
      </c>
      <c r="D2782">
        <v>3.94</v>
      </c>
      <c r="E2782">
        <v>5.19</v>
      </c>
      <c r="F2782">
        <v>1.35</v>
      </c>
      <c r="G2782">
        <v>1.8</v>
      </c>
      <c r="H2782">
        <v>2</v>
      </c>
      <c r="I2782">
        <v>1.45</v>
      </c>
      <c r="J2782">
        <v>0.05</v>
      </c>
      <c r="K2782">
        <v>0.05</v>
      </c>
    </row>
    <row r="2783" spans="1:11" x14ac:dyDescent="0.35">
      <c r="A2783" s="204">
        <v>43852</v>
      </c>
      <c r="B2783" s="544">
        <v>3.95</v>
      </c>
      <c r="C2783">
        <v>3.64</v>
      </c>
      <c r="D2783">
        <v>3.94</v>
      </c>
      <c r="E2783">
        <v>5.19</v>
      </c>
      <c r="F2783">
        <v>1.35</v>
      </c>
      <c r="G2783">
        <v>1.8</v>
      </c>
      <c r="H2783">
        <v>2</v>
      </c>
      <c r="I2783">
        <v>1.45</v>
      </c>
      <c r="J2783">
        <v>0.05</v>
      </c>
      <c r="K2783">
        <v>0.05</v>
      </c>
    </row>
    <row r="2784" spans="1:11" x14ac:dyDescent="0.35">
      <c r="A2784" s="204">
        <v>43859</v>
      </c>
      <c r="B2784" s="544">
        <v>3.95</v>
      </c>
      <c r="C2784">
        <v>3.64</v>
      </c>
      <c r="D2784">
        <v>3.94</v>
      </c>
      <c r="E2784">
        <v>5.19</v>
      </c>
      <c r="F2784">
        <v>1.35</v>
      </c>
      <c r="G2784">
        <v>1.8</v>
      </c>
      <c r="H2784">
        <v>2</v>
      </c>
      <c r="I2784">
        <v>1.45</v>
      </c>
      <c r="J2784">
        <v>0.05</v>
      </c>
      <c r="K2784">
        <v>0.05</v>
      </c>
    </row>
    <row r="2785" spans="1:11" x14ac:dyDescent="0.35">
      <c r="A2785" s="204">
        <v>43866</v>
      </c>
      <c r="B2785" s="544">
        <v>3.95</v>
      </c>
      <c r="C2785">
        <v>3.64</v>
      </c>
      <c r="D2785">
        <v>3.94</v>
      </c>
      <c r="E2785">
        <v>5.19</v>
      </c>
      <c r="F2785">
        <v>1.35</v>
      </c>
      <c r="G2785">
        <v>1.8</v>
      </c>
      <c r="H2785">
        <v>2</v>
      </c>
      <c r="I2785">
        <v>1.45</v>
      </c>
      <c r="J2785">
        <v>0.05</v>
      </c>
      <c r="K2785">
        <v>0.05</v>
      </c>
    </row>
    <row r="2786" spans="1:11" x14ac:dyDescent="0.35">
      <c r="A2786" s="204">
        <v>43873</v>
      </c>
      <c r="B2786" s="544">
        <v>3.95</v>
      </c>
      <c r="C2786">
        <v>3.64</v>
      </c>
      <c r="D2786">
        <v>3.94</v>
      </c>
      <c r="E2786">
        <v>5.19</v>
      </c>
      <c r="F2786">
        <v>1.35</v>
      </c>
      <c r="G2786">
        <v>1.8</v>
      </c>
      <c r="H2786">
        <v>2</v>
      </c>
      <c r="I2786">
        <v>1.45</v>
      </c>
      <c r="J2786">
        <v>0.05</v>
      </c>
      <c r="K2786">
        <v>0.05</v>
      </c>
    </row>
    <row r="2787" spans="1:11" x14ac:dyDescent="0.35">
      <c r="A2787" s="204">
        <v>43880</v>
      </c>
      <c r="B2787" s="544">
        <v>3.95</v>
      </c>
      <c r="C2787">
        <v>3.64</v>
      </c>
      <c r="D2787">
        <v>3.94</v>
      </c>
      <c r="E2787">
        <v>5.19</v>
      </c>
      <c r="F2787">
        <v>1.35</v>
      </c>
      <c r="G2787">
        <v>1.8</v>
      </c>
      <c r="H2787">
        <v>2</v>
      </c>
      <c r="I2787">
        <v>1.45</v>
      </c>
      <c r="J2787">
        <v>0.05</v>
      </c>
      <c r="K2787">
        <v>0.05</v>
      </c>
    </row>
    <row r="2788" spans="1:11" x14ac:dyDescent="0.35">
      <c r="A2788" s="204">
        <v>43887</v>
      </c>
      <c r="B2788" s="544">
        <v>3.95</v>
      </c>
      <c r="C2788">
        <v>3.64</v>
      </c>
      <c r="D2788">
        <v>3.94</v>
      </c>
      <c r="E2788">
        <v>5.19</v>
      </c>
      <c r="F2788">
        <v>1.35</v>
      </c>
      <c r="G2788">
        <v>1.8</v>
      </c>
      <c r="H2788">
        <v>2</v>
      </c>
      <c r="I2788">
        <v>1.25</v>
      </c>
      <c r="J2788">
        <v>0.05</v>
      </c>
      <c r="K2788">
        <v>0.05</v>
      </c>
    </row>
    <row r="2789" spans="1:11" x14ac:dyDescent="0.35">
      <c r="A2789" s="204">
        <v>43894</v>
      </c>
      <c r="B2789" s="544">
        <v>3.95</v>
      </c>
      <c r="C2789">
        <v>3.64</v>
      </c>
      <c r="D2789">
        <v>3.94</v>
      </c>
      <c r="E2789">
        <v>5.19</v>
      </c>
      <c r="F2789">
        <v>1.45</v>
      </c>
      <c r="G2789">
        <v>1.35</v>
      </c>
      <c r="H2789">
        <v>2</v>
      </c>
      <c r="I2789">
        <v>1.28</v>
      </c>
      <c r="J2789">
        <v>0.05</v>
      </c>
      <c r="K2789">
        <v>0.05</v>
      </c>
    </row>
    <row r="2790" spans="1:11" x14ac:dyDescent="0.35">
      <c r="A2790" s="204">
        <v>43901</v>
      </c>
      <c r="B2790" s="544">
        <v>3.45</v>
      </c>
      <c r="C2790">
        <v>3.39</v>
      </c>
      <c r="D2790">
        <v>3.94</v>
      </c>
      <c r="E2790">
        <v>5.19</v>
      </c>
      <c r="F2790">
        <v>1.25</v>
      </c>
      <c r="G2790">
        <v>1.35</v>
      </c>
      <c r="H2790">
        <v>1.5</v>
      </c>
      <c r="I2790">
        <v>1.25</v>
      </c>
      <c r="J2790">
        <v>0.05</v>
      </c>
      <c r="K2790">
        <v>0.05</v>
      </c>
    </row>
    <row r="2791" spans="1:11" x14ac:dyDescent="0.35">
      <c r="A2791" s="204">
        <v>43908</v>
      </c>
      <c r="B2791" s="544">
        <v>2.95</v>
      </c>
      <c r="C2791">
        <v>3.29</v>
      </c>
      <c r="D2791">
        <v>3.94</v>
      </c>
      <c r="E2791">
        <v>5.04</v>
      </c>
      <c r="F2791">
        <v>0.75</v>
      </c>
      <c r="G2791">
        <v>0.85</v>
      </c>
      <c r="H2791">
        <v>0.95</v>
      </c>
      <c r="I2791">
        <v>0.88</v>
      </c>
      <c r="J2791">
        <v>0.05</v>
      </c>
      <c r="K2791">
        <v>0.05</v>
      </c>
    </row>
    <row r="2792" spans="1:11" x14ac:dyDescent="0.35">
      <c r="A2792" s="204">
        <v>43915</v>
      </c>
      <c r="B2792" s="544">
        <v>2.95</v>
      </c>
      <c r="C2792">
        <v>3.29</v>
      </c>
      <c r="D2792">
        <v>3.94</v>
      </c>
      <c r="E2792">
        <v>5.04</v>
      </c>
      <c r="F2792">
        <v>1</v>
      </c>
      <c r="G2792">
        <v>1.1499999999999999</v>
      </c>
      <c r="H2792">
        <v>1.5</v>
      </c>
      <c r="I2792">
        <v>0.88</v>
      </c>
      <c r="J2792">
        <v>0.05</v>
      </c>
      <c r="K2792">
        <v>0.05</v>
      </c>
    </row>
    <row r="2793" spans="1:11" x14ac:dyDescent="0.35">
      <c r="A2793" s="204">
        <v>43922</v>
      </c>
      <c r="B2793" s="544">
        <v>2.4500000000000002</v>
      </c>
      <c r="C2793">
        <v>3.29</v>
      </c>
      <c r="D2793">
        <v>3.94</v>
      </c>
      <c r="E2793">
        <v>5.04</v>
      </c>
      <c r="F2793">
        <v>1</v>
      </c>
      <c r="G2793">
        <v>1.1499999999999999</v>
      </c>
      <c r="H2793">
        <v>1.48</v>
      </c>
      <c r="I2793">
        <v>1.25</v>
      </c>
      <c r="J2793">
        <v>0.05</v>
      </c>
      <c r="K2793">
        <v>0.05</v>
      </c>
    </row>
    <row r="2794" spans="1:11" x14ac:dyDescent="0.35">
      <c r="A2794" s="204">
        <v>43929</v>
      </c>
      <c r="B2794" s="544">
        <v>2.4500000000000002</v>
      </c>
      <c r="C2794">
        <v>3.29</v>
      </c>
      <c r="D2794">
        <v>3.94</v>
      </c>
      <c r="E2794">
        <v>5.04</v>
      </c>
      <c r="F2794">
        <v>1</v>
      </c>
      <c r="G2794">
        <v>1.1499999999999999</v>
      </c>
      <c r="H2794">
        <v>1.48</v>
      </c>
      <c r="I2794">
        <v>1.25</v>
      </c>
      <c r="J2794">
        <v>0.05</v>
      </c>
      <c r="K2794">
        <v>0.05</v>
      </c>
    </row>
    <row r="2795" spans="1:11" x14ac:dyDescent="0.35">
      <c r="A2795" s="204">
        <v>43936</v>
      </c>
      <c r="B2795" s="544">
        <v>2.4500000000000002</v>
      </c>
      <c r="C2795">
        <v>3.29</v>
      </c>
      <c r="D2795">
        <v>3.94</v>
      </c>
      <c r="E2795">
        <v>5.04</v>
      </c>
      <c r="F2795">
        <v>1</v>
      </c>
      <c r="G2795">
        <v>1.1499999999999999</v>
      </c>
      <c r="H2795">
        <v>1.48</v>
      </c>
      <c r="I2795">
        <v>1.25</v>
      </c>
      <c r="J2795">
        <v>0.05</v>
      </c>
      <c r="K2795">
        <v>0.05</v>
      </c>
    </row>
    <row r="2796" spans="1:11" x14ac:dyDescent="0.35">
      <c r="A2796" s="204">
        <v>43943</v>
      </c>
      <c r="B2796" s="544">
        <v>2.4500000000000002</v>
      </c>
      <c r="C2796">
        <v>3.29</v>
      </c>
      <c r="D2796">
        <v>4.05</v>
      </c>
      <c r="E2796">
        <v>5.04</v>
      </c>
      <c r="F2796">
        <v>0.75</v>
      </c>
      <c r="G2796">
        <v>1.1499999999999999</v>
      </c>
      <c r="H2796">
        <v>1.5</v>
      </c>
      <c r="I2796">
        <v>1.25</v>
      </c>
      <c r="J2796">
        <v>0.05</v>
      </c>
      <c r="K2796">
        <v>0.05</v>
      </c>
    </row>
    <row r="2797" spans="1:11" x14ac:dyDescent="0.35">
      <c r="A2797" s="204">
        <v>43950</v>
      </c>
      <c r="B2797" s="544">
        <v>2.4500000000000002</v>
      </c>
      <c r="C2797">
        <v>3.29</v>
      </c>
      <c r="D2797">
        <v>4.05</v>
      </c>
      <c r="E2797">
        <v>5.04</v>
      </c>
      <c r="F2797">
        <v>0.75</v>
      </c>
      <c r="G2797">
        <v>1.1499999999999999</v>
      </c>
      <c r="H2797">
        <v>1.5</v>
      </c>
      <c r="I2797">
        <v>1.25</v>
      </c>
      <c r="J2797">
        <v>0.05</v>
      </c>
      <c r="K2797">
        <v>0.05</v>
      </c>
    </row>
    <row r="2798" spans="1:11" x14ac:dyDescent="0.35">
      <c r="A2798" s="204">
        <v>43957</v>
      </c>
      <c r="B2798" s="544">
        <v>2.4500000000000002</v>
      </c>
      <c r="C2798">
        <v>3.29</v>
      </c>
      <c r="D2798">
        <v>4.05</v>
      </c>
      <c r="E2798">
        <v>5.04</v>
      </c>
      <c r="F2798">
        <v>0.75</v>
      </c>
      <c r="G2798">
        <v>1.1499999999999999</v>
      </c>
      <c r="H2798">
        <v>1.5</v>
      </c>
      <c r="I2798">
        <v>1.25</v>
      </c>
      <c r="J2798">
        <v>0.05</v>
      </c>
      <c r="K2798">
        <v>0.05</v>
      </c>
    </row>
    <row r="2799" spans="1:11" x14ac:dyDescent="0.35">
      <c r="A2799" s="204">
        <v>43964</v>
      </c>
      <c r="B2799" s="544">
        <v>2.4500000000000002</v>
      </c>
      <c r="C2799">
        <v>3.29</v>
      </c>
      <c r="D2799">
        <v>3.94</v>
      </c>
      <c r="E2799">
        <v>5.04</v>
      </c>
      <c r="F2799">
        <v>0.75</v>
      </c>
      <c r="G2799">
        <v>1.1499999999999999</v>
      </c>
      <c r="H2799">
        <v>1.5</v>
      </c>
      <c r="I2799">
        <v>1.25</v>
      </c>
      <c r="J2799">
        <v>0.05</v>
      </c>
      <c r="K2799">
        <v>0.05</v>
      </c>
    </row>
    <row r="2800" spans="1:11" x14ac:dyDescent="0.35">
      <c r="A2800" s="204">
        <v>43971</v>
      </c>
      <c r="B2800" s="544">
        <v>2.4500000000000002</v>
      </c>
      <c r="C2800">
        <v>3.19</v>
      </c>
      <c r="D2800">
        <v>3.89</v>
      </c>
      <c r="E2800">
        <v>4.9400000000000004</v>
      </c>
      <c r="F2800">
        <v>0.75</v>
      </c>
      <c r="G2800">
        <v>1.1499999999999999</v>
      </c>
      <c r="H2800">
        <v>1.5</v>
      </c>
      <c r="I2800">
        <v>1.25</v>
      </c>
      <c r="J2800">
        <v>0.01</v>
      </c>
      <c r="K2800">
        <v>0.01</v>
      </c>
    </row>
    <row r="2801" spans="1:11" x14ac:dyDescent="0.35">
      <c r="A2801" s="204">
        <v>43978</v>
      </c>
      <c r="B2801" s="544">
        <v>2.4500000000000002</v>
      </c>
      <c r="C2801">
        <v>3.19</v>
      </c>
      <c r="D2801">
        <v>3.89</v>
      </c>
      <c r="E2801">
        <v>4.9400000000000004</v>
      </c>
      <c r="F2801">
        <v>0.75</v>
      </c>
      <c r="G2801">
        <v>1.1499999999999999</v>
      </c>
      <c r="H2801">
        <v>1.5</v>
      </c>
      <c r="I2801">
        <v>1.25</v>
      </c>
      <c r="J2801">
        <v>0.01</v>
      </c>
      <c r="K2801">
        <v>0.01</v>
      </c>
    </row>
    <row r="2802" spans="1:11" x14ac:dyDescent="0.35">
      <c r="A2802" s="204">
        <v>43985</v>
      </c>
      <c r="B2802" s="544">
        <v>2.4500000000000002</v>
      </c>
      <c r="C2802">
        <v>3.19</v>
      </c>
      <c r="D2802">
        <v>3.89</v>
      </c>
      <c r="E2802">
        <v>4.9400000000000004</v>
      </c>
      <c r="F2802">
        <v>0.75</v>
      </c>
      <c r="G2802">
        <v>1.1499999999999999</v>
      </c>
      <c r="H2802">
        <v>1.5</v>
      </c>
      <c r="I2802">
        <v>1.25</v>
      </c>
      <c r="J2802">
        <v>0.01</v>
      </c>
      <c r="K2802">
        <v>0.01</v>
      </c>
    </row>
    <row r="2803" spans="1:11" x14ac:dyDescent="0.35">
      <c r="A2803" s="204">
        <v>43992</v>
      </c>
      <c r="B2803" s="544">
        <v>2.4500000000000002</v>
      </c>
      <c r="C2803">
        <v>3.19</v>
      </c>
      <c r="D2803">
        <v>3.89</v>
      </c>
      <c r="E2803">
        <v>4.9400000000000004</v>
      </c>
      <c r="F2803">
        <v>0.75</v>
      </c>
      <c r="G2803">
        <v>1.05</v>
      </c>
      <c r="H2803">
        <v>1.5</v>
      </c>
      <c r="I2803">
        <v>1.25</v>
      </c>
      <c r="J2803">
        <v>0.01</v>
      </c>
      <c r="K2803">
        <v>0.01</v>
      </c>
    </row>
    <row r="2804" spans="1:11" x14ac:dyDescent="0.35">
      <c r="A2804" s="204">
        <v>43999</v>
      </c>
      <c r="B2804" s="544">
        <v>2.4500000000000002</v>
      </c>
      <c r="C2804">
        <v>3.19</v>
      </c>
      <c r="D2804">
        <v>3.89</v>
      </c>
      <c r="E2804">
        <v>4.9400000000000004</v>
      </c>
      <c r="F2804">
        <v>0.75</v>
      </c>
      <c r="G2804">
        <v>1.05</v>
      </c>
      <c r="H2804">
        <v>1.5</v>
      </c>
      <c r="I2804">
        <v>1.25</v>
      </c>
      <c r="J2804">
        <v>0.01</v>
      </c>
      <c r="K2804">
        <v>0.01</v>
      </c>
    </row>
    <row r="2805" spans="1:11" x14ac:dyDescent="0.35">
      <c r="A2805" s="204">
        <v>44006</v>
      </c>
      <c r="B2805" s="544">
        <v>2.4500000000000002</v>
      </c>
      <c r="C2805">
        <v>3.19</v>
      </c>
      <c r="D2805">
        <v>3.89</v>
      </c>
      <c r="E2805">
        <v>4.9400000000000004</v>
      </c>
      <c r="F2805">
        <v>0.75</v>
      </c>
      <c r="G2805">
        <v>1</v>
      </c>
      <c r="H2805">
        <v>1.5</v>
      </c>
      <c r="I2805">
        <v>1.25</v>
      </c>
      <c r="J2805">
        <v>0.01</v>
      </c>
      <c r="K2805">
        <v>0.01</v>
      </c>
    </row>
    <row r="2806" spans="1:11" x14ac:dyDescent="0.35">
      <c r="A2806" s="204">
        <v>44013</v>
      </c>
      <c r="B2806" s="544">
        <v>2.4500000000000002</v>
      </c>
      <c r="C2806">
        <v>3.19</v>
      </c>
      <c r="D2806">
        <v>3.89</v>
      </c>
      <c r="E2806">
        <v>4.9400000000000004</v>
      </c>
      <c r="F2806">
        <v>0.55000000000000004</v>
      </c>
      <c r="G2806">
        <v>0.85</v>
      </c>
      <c r="H2806">
        <v>1.1299999999999999</v>
      </c>
      <c r="I2806">
        <v>0.88</v>
      </c>
      <c r="J2806">
        <v>0.01</v>
      </c>
      <c r="K2806">
        <v>0.01</v>
      </c>
    </row>
    <row r="2807" spans="1:11" x14ac:dyDescent="0.35">
      <c r="A2807" s="204">
        <v>44020</v>
      </c>
      <c r="B2807" s="544">
        <v>2.4500000000000002</v>
      </c>
      <c r="C2807">
        <v>3.19</v>
      </c>
      <c r="D2807">
        <v>3.89</v>
      </c>
      <c r="E2807">
        <v>4.9400000000000004</v>
      </c>
      <c r="F2807">
        <v>0.55000000000000004</v>
      </c>
      <c r="G2807">
        <v>0.85</v>
      </c>
      <c r="H2807">
        <v>1.1299999999999999</v>
      </c>
      <c r="I2807">
        <v>0.88</v>
      </c>
      <c r="J2807">
        <v>0.01</v>
      </c>
      <c r="K2807">
        <v>0.01</v>
      </c>
    </row>
    <row r="2808" spans="1:11" x14ac:dyDescent="0.35">
      <c r="A2808" s="204">
        <v>44027</v>
      </c>
      <c r="B2808" s="544">
        <v>2.4500000000000002</v>
      </c>
      <c r="C2808">
        <v>3.09</v>
      </c>
      <c r="D2808">
        <v>3.79</v>
      </c>
      <c r="E2808">
        <v>4.9400000000000004</v>
      </c>
      <c r="F2808">
        <v>0.55000000000000004</v>
      </c>
      <c r="G2808">
        <v>0.8</v>
      </c>
      <c r="H2808">
        <v>1.05</v>
      </c>
      <c r="I2808">
        <v>0.88</v>
      </c>
      <c r="J2808">
        <v>0.01</v>
      </c>
      <c r="K2808">
        <v>0.01</v>
      </c>
    </row>
    <row r="2809" spans="1:11" x14ac:dyDescent="0.35">
      <c r="A2809" s="204">
        <v>44034</v>
      </c>
      <c r="B2809" s="544">
        <v>2.4500000000000002</v>
      </c>
      <c r="C2809">
        <v>3.09</v>
      </c>
      <c r="D2809">
        <v>3.79</v>
      </c>
      <c r="E2809">
        <v>4.9400000000000004</v>
      </c>
      <c r="F2809">
        <v>0.55000000000000004</v>
      </c>
      <c r="G2809">
        <v>0.75</v>
      </c>
      <c r="H2809">
        <v>1.05</v>
      </c>
      <c r="I2809">
        <v>0.88</v>
      </c>
      <c r="J2809">
        <v>0.01</v>
      </c>
      <c r="K2809">
        <v>0.01</v>
      </c>
    </row>
    <row r="2810" spans="1:11" x14ac:dyDescent="0.35">
      <c r="A2810" s="204">
        <v>44041</v>
      </c>
      <c r="B2810" s="544">
        <v>2.4500000000000002</v>
      </c>
      <c r="C2810">
        <v>3.09</v>
      </c>
      <c r="D2810">
        <v>3.79</v>
      </c>
      <c r="E2810">
        <v>4.9400000000000004</v>
      </c>
      <c r="F2810">
        <v>0.55000000000000004</v>
      </c>
      <c r="G2810">
        <v>0.75</v>
      </c>
      <c r="H2810">
        <v>1.05</v>
      </c>
      <c r="I2810">
        <v>0.88</v>
      </c>
      <c r="J2810">
        <v>0.01</v>
      </c>
      <c r="K2810">
        <v>0.01</v>
      </c>
    </row>
    <row r="2811" spans="1:11" x14ac:dyDescent="0.35">
      <c r="A2811" s="204">
        <v>44048</v>
      </c>
      <c r="B2811" s="544">
        <v>2.4500000000000002</v>
      </c>
      <c r="C2811">
        <v>3.09</v>
      </c>
      <c r="D2811">
        <v>3.89</v>
      </c>
      <c r="E2811">
        <v>4.9400000000000004</v>
      </c>
      <c r="F2811">
        <v>0.55000000000000004</v>
      </c>
      <c r="G2811">
        <v>0.75</v>
      </c>
      <c r="H2811">
        <v>1</v>
      </c>
      <c r="I2811">
        <v>0.88</v>
      </c>
      <c r="J2811">
        <v>0.01</v>
      </c>
      <c r="K2811">
        <v>0.01</v>
      </c>
    </row>
    <row r="2812" spans="1:11" x14ac:dyDescent="0.35">
      <c r="A2812" s="204">
        <v>44055</v>
      </c>
      <c r="B2812" s="544">
        <v>2.4500000000000002</v>
      </c>
      <c r="C2812">
        <v>3.09</v>
      </c>
      <c r="D2812">
        <v>3.75</v>
      </c>
      <c r="E2812">
        <v>4.79</v>
      </c>
      <c r="F2812">
        <v>0.43</v>
      </c>
      <c r="G2812">
        <v>0.7</v>
      </c>
      <c r="H2812">
        <v>0.95</v>
      </c>
      <c r="I2812">
        <v>0.7</v>
      </c>
      <c r="J2812">
        <v>0.01</v>
      </c>
      <c r="K2812">
        <v>0.01</v>
      </c>
    </row>
    <row r="2813" spans="1:11" x14ac:dyDescent="0.35">
      <c r="A2813" s="204">
        <v>44062</v>
      </c>
      <c r="B2813" s="544">
        <v>2.4500000000000002</v>
      </c>
      <c r="C2813">
        <v>3.09</v>
      </c>
      <c r="D2813">
        <v>3.75</v>
      </c>
      <c r="E2813">
        <v>4.79</v>
      </c>
      <c r="F2813">
        <v>0.43</v>
      </c>
      <c r="G2813">
        <v>0.7</v>
      </c>
      <c r="H2813">
        <v>0.95</v>
      </c>
      <c r="I2813">
        <v>0.7</v>
      </c>
      <c r="J2813">
        <v>0.01</v>
      </c>
      <c r="K2813">
        <v>0.01</v>
      </c>
    </row>
    <row r="2814" spans="1:11" x14ac:dyDescent="0.35">
      <c r="A2814" s="204">
        <v>44069</v>
      </c>
      <c r="B2814" s="544">
        <v>2.4500000000000002</v>
      </c>
      <c r="C2814">
        <v>3.09</v>
      </c>
      <c r="D2814">
        <v>3.75</v>
      </c>
      <c r="E2814">
        <v>4.79</v>
      </c>
      <c r="F2814">
        <v>0.43</v>
      </c>
      <c r="G2814">
        <v>0.6</v>
      </c>
      <c r="H2814">
        <v>0.95</v>
      </c>
      <c r="I2814">
        <v>0.7</v>
      </c>
      <c r="J2814">
        <v>0.01</v>
      </c>
      <c r="K2814">
        <v>0.01</v>
      </c>
    </row>
    <row r="2815" spans="1:11" x14ac:dyDescent="0.35">
      <c r="A2815" s="204">
        <v>44076</v>
      </c>
      <c r="B2815" s="544">
        <v>2.4500000000000002</v>
      </c>
      <c r="C2815">
        <v>3.09</v>
      </c>
      <c r="D2815">
        <v>3.59</v>
      </c>
      <c r="E2815">
        <v>4.79</v>
      </c>
      <c r="F2815">
        <v>0.43</v>
      </c>
      <c r="G2815">
        <v>0.6</v>
      </c>
      <c r="H2815">
        <v>0.95</v>
      </c>
      <c r="I2815">
        <v>0.7</v>
      </c>
      <c r="J2815">
        <v>0.01</v>
      </c>
      <c r="K2815">
        <v>0.01</v>
      </c>
    </row>
    <row r="2816" spans="1:11" x14ac:dyDescent="0.35">
      <c r="A2816" s="204">
        <v>44083</v>
      </c>
      <c r="B2816" s="544">
        <v>2.4500000000000002</v>
      </c>
      <c r="C2816">
        <v>3.09</v>
      </c>
      <c r="D2816">
        <v>3.59</v>
      </c>
      <c r="E2816">
        <v>4.79</v>
      </c>
      <c r="F2816">
        <v>0.35</v>
      </c>
      <c r="G2816">
        <v>0.6</v>
      </c>
      <c r="H2816">
        <v>0.85</v>
      </c>
      <c r="I2816">
        <v>0.7</v>
      </c>
      <c r="J2816">
        <v>0.01</v>
      </c>
      <c r="K2816">
        <v>0.01</v>
      </c>
    </row>
    <row r="2817" spans="1:11" x14ac:dyDescent="0.35">
      <c r="A2817" s="204">
        <v>44090</v>
      </c>
      <c r="B2817" s="544">
        <v>2.4500000000000002</v>
      </c>
      <c r="C2817">
        <v>3.09</v>
      </c>
      <c r="D2817">
        <v>3.59</v>
      </c>
      <c r="E2817">
        <v>4.79</v>
      </c>
      <c r="F2817">
        <v>0.35</v>
      </c>
      <c r="G2817">
        <v>0.6</v>
      </c>
      <c r="H2817">
        <v>0.85</v>
      </c>
      <c r="I2817">
        <v>0.7</v>
      </c>
      <c r="J2817">
        <v>0.01</v>
      </c>
      <c r="K2817">
        <v>0.01</v>
      </c>
    </row>
    <row r="2818" spans="1:11" x14ac:dyDescent="0.35">
      <c r="A2818" s="204">
        <v>44097</v>
      </c>
      <c r="B2818" s="544">
        <v>2.4500000000000002</v>
      </c>
      <c r="C2818">
        <v>3.09</v>
      </c>
      <c r="D2818">
        <v>3.59</v>
      </c>
      <c r="E2818">
        <v>4.79</v>
      </c>
      <c r="F2818">
        <v>0.35</v>
      </c>
      <c r="G2818">
        <v>0.6</v>
      </c>
      <c r="H2818">
        <v>0.85</v>
      </c>
      <c r="I2818">
        <v>0.7</v>
      </c>
      <c r="J2818">
        <v>0.01</v>
      </c>
      <c r="K2818">
        <v>0.01</v>
      </c>
    </row>
    <row r="2819" spans="1:11" x14ac:dyDescent="0.35">
      <c r="A2819" s="204">
        <v>44104</v>
      </c>
      <c r="B2819" s="544">
        <v>2.4500000000000002</v>
      </c>
      <c r="C2819">
        <v>3.09</v>
      </c>
      <c r="D2819">
        <v>3.59</v>
      </c>
      <c r="E2819">
        <v>4.79</v>
      </c>
      <c r="F2819">
        <v>0.35</v>
      </c>
      <c r="G2819">
        <v>0.6</v>
      </c>
      <c r="H2819">
        <v>0.85</v>
      </c>
      <c r="I2819">
        <v>0.7</v>
      </c>
      <c r="J2819">
        <v>0.01</v>
      </c>
      <c r="K2819">
        <v>0.01</v>
      </c>
    </row>
    <row r="2820" spans="1:11" x14ac:dyDescent="0.35">
      <c r="A2820" s="204">
        <v>44111</v>
      </c>
      <c r="B2820" s="544">
        <v>2.4500000000000002</v>
      </c>
      <c r="C2820">
        <v>3.09</v>
      </c>
      <c r="D2820">
        <v>3.59</v>
      </c>
      <c r="E2820">
        <v>4.79</v>
      </c>
      <c r="F2820">
        <v>0.35</v>
      </c>
      <c r="G2820">
        <v>0.6</v>
      </c>
      <c r="H2820">
        <v>0.85</v>
      </c>
      <c r="I2820">
        <v>0.7</v>
      </c>
      <c r="J2820">
        <v>0.01</v>
      </c>
      <c r="K2820">
        <v>0.01</v>
      </c>
    </row>
    <row r="2821" spans="1:11" x14ac:dyDescent="0.35">
      <c r="A2821" s="204">
        <v>44118</v>
      </c>
      <c r="B2821" s="544">
        <v>2.4500000000000002</v>
      </c>
      <c r="C2821">
        <v>3.09</v>
      </c>
      <c r="D2821">
        <v>3.59</v>
      </c>
      <c r="E2821">
        <v>4.79</v>
      </c>
      <c r="F2821">
        <v>0.35</v>
      </c>
      <c r="G2821">
        <v>0.6</v>
      </c>
      <c r="H2821">
        <v>0.85</v>
      </c>
      <c r="I2821">
        <v>0.7</v>
      </c>
      <c r="J2821">
        <v>0.01</v>
      </c>
      <c r="K2821">
        <v>0.01</v>
      </c>
    </row>
    <row r="2822" spans="1:11" x14ac:dyDescent="0.35">
      <c r="A2822" s="204">
        <v>44125</v>
      </c>
      <c r="B2822" s="544">
        <v>2.4500000000000002</v>
      </c>
      <c r="C2822">
        <v>3.09</v>
      </c>
      <c r="D2822">
        <v>3.59</v>
      </c>
      <c r="E2822">
        <v>4.79</v>
      </c>
      <c r="F2822">
        <v>0.35</v>
      </c>
      <c r="G2822">
        <v>0.6</v>
      </c>
      <c r="H2822">
        <v>0.85</v>
      </c>
      <c r="I2822">
        <v>0.7</v>
      </c>
      <c r="J2822">
        <v>0.01</v>
      </c>
      <c r="K2822">
        <v>0.01</v>
      </c>
    </row>
    <row r="2823" spans="1:11" x14ac:dyDescent="0.35">
      <c r="A2823" s="204">
        <v>44132</v>
      </c>
      <c r="B2823" s="544">
        <v>2.4500000000000002</v>
      </c>
      <c r="C2823">
        <v>3.09</v>
      </c>
      <c r="D2823">
        <v>3.59</v>
      </c>
      <c r="E2823">
        <v>4.79</v>
      </c>
      <c r="F2823">
        <v>0.35</v>
      </c>
      <c r="G2823">
        <v>0.6</v>
      </c>
      <c r="H2823">
        <v>0.85</v>
      </c>
      <c r="I2823">
        <v>0.7</v>
      </c>
      <c r="J2823">
        <v>0.01</v>
      </c>
      <c r="K2823">
        <v>0.01</v>
      </c>
    </row>
    <row r="2824" spans="1:11" x14ac:dyDescent="0.35">
      <c r="A2824" s="204">
        <v>44139</v>
      </c>
      <c r="B2824" s="544">
        <v>2.4500000000000002</v>
      </c>
      <c r="C2824">
        <v>3.09</v>
      </c>
      <c r="D2824">
        <v>3.59</v>
      </c>
      <c r="E2824">
        <v>4.79</v>
      </c>
      <c r="F2824">
        <v>0.35</v>
      </c>
      <c r="G2824">
        <v>0.6</v>
      </c>
      <c r="H2824">
        <v>0.85</v>
      </c>
      <c r="I2824">
        <v>0.7</v>
      </c>
      <c r="J2824">
        <v>0.01</v>
      </c>
      <c r="K2824">
        <v>0.01</v>
      </c>
    </row>
    <row r="2825" spans="1:11" x14ac:dyDescent="0.35">
      <c r="A2825" s="204">
        <v>44146</v>
      </c>
      <c r="B2825" s="544">
        <v>2.4500000000000002</v>
      </c>
      <c r="C2825">
        <v>3.09</v>
      </c>
      <c r="D2825">
        <v>3.59</v>
      </c>
      <c r="E2825">
        <v>4.79</v>
      </c>
      <c r="F2825">
        <v>0.35</v>
      </c>
      <c r="G2825">
        <v>0.6</v>
      </c>
      <c r="H2825">
        <v>0.85</v>
      </c>
      <c r="I2825">
        <v>0.7</v>
      </c>
      <c r="J2825">
        <v>0.01</v>
      </c>
      <c r="K2825">
        <v>0.01</v>
      </c>
    </row>
    <row r="2826" spans="1:11" x14ac:dyDescent="0.35">
      <c r="A2826" s="204">
        <v>44153</v>
      </c>
      <c r="B2826" s="544">
        <v>2.4500000000000002</v>
      </c>
      <c r="C2826">
        <v>3.09</v>
      </c>
      <c r="D2826">
        <v>3.59</v>
      </c>
      <c r="E2826">
        <v>4.79</v>
      </c>
      <c r="F2826">
        <v>0.35</v>
      </c>
      <c r="G2826">
        <v>0.6</v>
      </c>
      <c r="H2826">
        <v>0.85</v>
      </c>
      <c r="I2826">
        <v>0.7</v>
      </c>
      <c r="J2826">
        <v>0.01</v>
      </c>
      <c r="K2826">
        <v>0.01</v>
      </c>
    </row>
    <row r="2827" spans="1:11" x14ac:dyDescent="0.35">
      <c r="A2827" s="204">
        <v>44160</v>
      </c>
      <c r="B2827" s="544">
        <v>2.4500000000000002</v>
      </c>
      <c r="C2827">
        <v>3.09</v>
      </c>
      <c r="D2827">
        <v>3.59</v>
      </c>
      <c r="E2827">
        <v>4.79</v>
      </c>
      <c r="F2827">
        <v>0.35</v>
      </c>
      <c r="G2827">
        <v>0.6</v>
      </c>
      <c r="H2827">
        <v>0.85</v>
      </c>
      <c r="I2827">
        <v>0.7</v>
      </c>
      <c r="J2827">
        <v>0.01</v>
      </c>
      <c r="K2827">
        <v>0.01</v>
      </c>
    </row>
    <row r="2828" spans="1:11" x14ac:dyDescent="0.35">
      <c r="A2828" s="204">
        <v>44167</v>
      </c>
      <c r="B2828" s="544">
        <v>2.4500000000000002</v>
      </c>
      <c r="C2828">
        <v>3.09</v>
      </c>
      <c r="D2828">
        <v>3.59</v>
      </c>
      <c r="E2828">
        <v>4.79</v>
      </c>
      <c r="F2828">
        <v>0.35</v>
      </c>
      <c r="G2828">
        <v>0.6</v>
      </c>
      <c r="H2828">
        <v>0.85</v>
      </c>
      <c r="I2828">
        <v>0.7</v>
      </c>
      <c r="J2828">
        <v>0.01</v>
      </c>
      <c r="K2828">
        <v>0.01</v>
      </c>
    </row>
    <row r="2829" spans="1:11" x14ac:dyDescent="0.35">
      <c r="A2829" s="204">
        <v>44174</v>
      </c>
      <c r="B2829" s="544">
        <v>2.4500000000000002</v>
      </c>
      <c r="C2829">
        <v>3.09</v>
      </c>
      <c r="D2829">
        <v>3.45</v>
      </c>
      <c r="E2829">
        <v>4.79</v>
      </c>
      <c r="F2829">
        <v>0.35</v>
      </c>
      <c r="G2829">
        <v>0.6</v>
      </c>
      <c r="H2829">
        <v>0.95</v>
      </c>
      <c r="I2829">
        <v>0.7</v>
      </c>
      <c r="J2829">
        <v>0.01</v>
      </c>
      <c r="K2829">
        <v>0.01</v>
      </c>
    </row>
    <row r="2830" spans="1:11" x14ac:dyDescent="0.35">
      <c r="A2830" s="204">
        <v>44181</v>
      </c>
      <c r="B2830" s="544">
        <v>2.4500000000000002</v>
      </c>
      <c r="C2830">
        <v>3.09</v>
      </c>
      <c r="D2830">
        <v>3.49</v>
      </c>
      <c r="E2830">
        <v>4.79</v>
      </c>
      <c r="F2830">
        <v>0.35</v>
      </c>
      <c r="G2830">
        <v>0.6</v>
      </c>
      <c r="H2830">
        <v>0.95</v>
      </c>
      <c r="I2830">
        <v>0.7</v>
      </c>
      <c r="J2830">
        <v>0.01</v>
      </c>
      <c r="K2830">
        <v>0.01</v>
      </c>
    </row>
    <row r="2831" spans="1:11" x14ac:dyDescent="0.35">
      <c r="A2831" s="204">
        <v>44188</v>
      </c>
      <c r="B2831" s="544">
        <v>2.4500000000000002</v>
      </c>
      <c r="C2831">
        <v>3.09</v>
      </c>
      <c r="D2831">
        <v>3.49</v>
      </c>
      <c r="E2831">
        <v>4.79</v>
      </c>
      <c r="F2831">
        <v>0.35</v>
      </c>
      <c r="G2831">
        <v>0.6</v>
      </c>
      <c r="H2831">
        <v>0.8</v>
      </c>
      <c r="I2831">
        <v>0.7</v>
      </c>
      <c r="J2831">
        <v>0.01</v>
      </c>
      <c r="K2831">
        <v>0.01</v>
      </c>
    </row>
    <row r="2832" spans="1:11" x14ac:dyDescent="0.35">
      <c r="A2832" s="204">
        <v>44195</v>
      </c>
      <c r="B2832" s="544">
        <v>2.4500000000000002</v>
      </c>
      <c r="C2832">
        <v>3.09</v>
      </c>
      <c r="D2832">
        <v>3.49</v>
      </c>
      <c r="E2832">
        <v>4.79</v>
      </c>
      <c r="F2832">
        <v>0.35</v>
      </c>
      <c r="G2832">
        <v>0.6</v>
      </c>
      <c r="H2832">
        <v>0.8</v>
      </c>
      <c r="I2832">
        <v>0.7</v>
      </c>
      <c r="J2832">
        <v>0.01</v>
      </c>
      <c r="K2832">
        <v>0.01</v>
      </c>
    </row>
    <row r="2833" spans="1:11" x14ac:dyDescent="0.35">
      <c r="A2833" s="204">
        <v>44202</v>
      </c>
      <c r="B2833" s="544">
        <v>2.4500000000000002</v>
      </c>
      <c r="C2833">
        <v>3.09</v>
      </c>
      <c r="D2833">
        <v>3.49</v>
      </c>
      <c r="E2833">
        <v>4.79</v>
      </c>
      <c r="F2833">
        <v>0.35</v>
      </c>
      <c r="G2833">
        <v>0.6</v>
      </c>
      <c r="H2833">
        <v>0.8</v>
      </c>
      <c r="I2833">
        <v>0.7</v>
      </c>
      <c r="J2833">
        <v>0.01</v>
      </c>
      <c r="K2833">
        <v>0.01</v>
      </c>
    </row>
    <row r="2834" spans="1:11" x14ac:dyDescent="0.35">
      <c r="A2834" s="204">
        <v>44209</v>
      </c>
      <c r="B2834" s="544">
        <v>2.4500000000000002</v>
      </c>
      <c r="C2834">
        <v>2.79</v>
      </c>
      <c r="D2834">
        <v>3.49</v>
      </c>
      <c r="E2834">
        <v>4.79</v>
      </c>
      <c r="F2834">
        <v>0.35</v>
      </c>
      <c r="G2834">
        <v>0.6</v>
      </c>
      <c r="H2834">
        <v>0.8</v>
      </c>
      <c r="I2834">
        <v>0.7</v>
      </c>
      <c r="J2834">
        <v>0.01</v>
      </c>
      <c r="K2834">
        <v>0.01</v>
      </c>
    </row>
    <row r="2835" spans="1:11" x14ac:dyDescent="0.35">
      <c r="A2835" s="204">
        <v>44216</v>
      </c>
      <c r="B2835" s="544">
        <v>2.4500000000000002</v>
      </c>
      <c r="C2835">
        <v>2.79</v>
      </c>
      <c r="D2835">
        <v>3.49</v>
      </c>
      <c r="E2835">
        <v>4.79</v>
      </c>
      <c r="F2835">
        <v>0.35</v>
      </c>
      <c r="G2835">
        <v>0.6</v>
      </c>
      <c r="H2835">
        <v>0.8</v>
      </c>
      <c r="I2835">
        <v>0.7</v>
      </c>
      <c r="J2835">
        <v>0.01</v>
      </c>
      <c r="K2835">
        <v>0.01</v>
      </c>
    </row>
    <row r="2836" spans="1:11" x14ac:dyDescent="0.35">
      <c r="A2836" s="204">
        <v>44223</v>
      </c>
      <c r="B2836" s="544">
        <v>2.4500000000000002</v>
      </c>
      <c r="C2836">
        <v>2.79</v>
      </c>
      <c r="D2836">
        <v>3.49</v>
      </c>
      <c r="E2836">
        <v>4.79</v>
      </c>
      <c r="F2836">
        <v>0.35</v>
      </c>
      <c r="G2836">
        <v>0.6</v>
      </c>
      <c r="H2836">
        <v>0.8</v>
      </c>
      <c r="I2836">
        <v>0.7</v>
      </c>
      <c r="J2836">
        <v>0.01</v>
      </c>
      <c r="K2836">
        <v>0.01</v>
      </c>
    </row>
    <row r="2837" spans="1:11" x14ac:dyDescent="0.35">
      <c r="A2837" s="204">
        <v>44230</v>
      </c>
      <c r="B2837" s="544">
        <v>2.4500000000000002</v>
      </c>
      <c r="C2837">
        <v>2.79</v>
      </c>
      <c r="D2837">
        <v>3.49</v>
      </c>
      <c r="E2837">
        <v>4.79</v>
      </c>
      <c r="F2837">
        <v>0.35</v>
      </c>
      <c r="G2837">
        <v>0.5</v>
      </c>
      <c r="H2837">
        <v>0.8</v>
      </c>
      <c r="I2837">
        <v>0.7</v>
      </c>
      <c r="J2837">
        <v>0.01</v>
      </c>
      <c r="K2837">
        <v>0.01</v>
      </c>
    </row>
    <row r="2838" spans="1:11" x14ac:dyDescent="0.35">
      <c r="A2838" s="204">
        <v>44237</v>
      </c>
      <c r="B2838" s="544">
        <v>2.4500000000000002</v>
      </c>
      <c r="C2838">
        <v>2.79</v>
      </c>
      <c r="D2838">
        <v>3.49</v>
      </c>
      <c r="E2838">
        <v>4.79</v>
      </c>
      <c r="F2838">
        <v>0.35</v>
      </c>
      <c r="G2838">
        <v>0.5</v>
      </c>
      <c r="H2838">
        <v>0.8</v>
      </c>
      <c r="I2838">
        <v>0.7</v>
      </c>
      <c r="J2838">
        <v>0.01</v>
      </c>
      <c r="K2838">
        <v>0.01</v>
      </c>
    </row>
    <row r="2839" spans="1:11" x14ac:dyDescent="0.35">
      <c r="A2839" s="204">
        <v>44244</v>
      </c>
      <c r="B2839" s="544">
        <v>2.4500000000000002</v>
      </c>
      <c r="C2839">
        <v>2.79</v>
      </c>
      <c r="D2839">
        <v>3.49</v>
      </c>
      <c r="E2839">
        <v>4.79</v>
      </c>
      <c r="F2839">
        <v>0.35</v>
      </c>
      <c r="G2839">
        <v>0.5</v>
      </c>
      <c r="H2839">
        <v>0.8</v>
      </c>
      <c r="I2839">
        <v>0.7</v>
      </c>
      <c r="J2839">
        <v>0.01</v>
      </c>
      <c r="K2839">
        <v>0.01</v>
      </c>
    </row>
    <row r="2840" spans="1:11" x14ac:dyDescent="0.35">
      <c r="A2840" s="204">
        <v>44251</v>
      </c>
      <c r="B2840" s="544">
        <v>2.4500000000000002</v>
      </c>
      <c r="C2840">
        <v>2.79</v>
      </c>
      <c r="D2840">
        <v>3.49</v>
      </c>
      <c r="E2840">
        <v>4.79</v>
      </c>
      <c r="F2840">
        <v>0.3</v>
      </c>
      <c r="G2840">
        <v>0.5</v>
      </c>
      <c r="H2840">
        <v>0.8</v>
      </c>
      <c r="I2840">
        <v>0.7</v>
      </c>
      <c r="J2840">
        <v>0.01</v>
      </c>
      <c r="K2840">
        <v>0.01</v>
      </c>
    </row>
    <row r="2841" spans="1:11" x14ac:dyDescent="0.35">
      <c r="A2841" s="204">
        <v>44258</v>
      </c>
      <c r="B2841" s="544">
        <v>2.4500000000000002</v>
      </c>
      <c r="C2841">
        <v>2.79</v>
      </c>
      <c r="D2841">
        <v>3.49</v>
      </c>
      <c r="E2841">
        <v>4.79</v>
      </c>
      <c r="F2841">
        <v>0.3</v>
      </c>
      <c r="G2841">
        <v>0.5</v>
      </c>
      <c r="H2841">
        <v>0.8</v>
      </c>
      <c r="I2841">
        <v>0.7</v>
      </c>
      <c r="J2841">
        <v>0.01</v>
      </c>
      <c r="K2841">
        <v>0.01</v>
      </c>
    </row>
    <row r="2842" spans="1:11" x14ac:dyDescent="0.35">
      <c r="A2842" s="204">
        <v>44265</v>
      </c>
      <c r="B2842" s="544">
        <v>2.4500000000000002</v>
      </c>
      <c r="C2842">
        <v>2.79</v>
      </c>
      <c r="D2842">
        <v>3.49</v>
      </c>
      <c r="E2842">
        <v>4.79</v>
      </c>
      <c r="F2842">
        <v>0.3</v>
      </c>
      <c r="G2842">
        <v>0.5</v>
      </c>
      <c r="H2842">
        <v>0.85</v>
      </c>
      <c r="I2842">
        <v>0.7</v>
      </c>
      <c r="J2842">
        <v>0.01</v>
      </c>
      <c r="K2842">
        <v>0.01</v>
      </c>
    </row>
    <row r="2843" spans="1:11" x14ac:dyDescent="0.35">
      <c r="A2843" s="204">
        <v>44272</v>
      </c>
      <c r="B2843" s="544">
        <v>2.4500000000000002</v>
      </c>
      <c r="C2843">
        <v>2.79</v>
      </c>
      <c r="D2843">
        <v>3.49</v>
      </c>
      <c r="E2843">
        <v>4.79</v>
      </c>
      <c r="F2843">
        <v>0.25</v>
      </c>
      <c r="G2843">
        <v>0.5</v>
      </c>
      <c r="H2843">
        <v>0.95</v>
      </c>
      <c r="I2843">
        <v>0.7</v>
      </c>
      <c r="J2843">
        <v>0.01</v>
      </c>
      <c r="K2843">
        <v>0.01</v>
      </c>
    </row>
    <row r="2844" spans="1:11" x14ac:dyDescent="0.35">
      <c r="A2844" s="204">
        <v>44279</v>
      </c>
      <c r="B2844" s="544">
        <v>2.4500000000000002</v>
      </c>
      <c r="C2844">
        <v>2.79</v>
      </c>
      <c r="D2844">
        <v>3.49</v>
      </c>
      <c r="E2844">
        <v>4.79</v>
      </c>
      <c r="F2844">
        <v>0.25</v>
      </c>
      <c r="G2844">
        <v>0.5</v>
      </c>
      <c r="H2844">
        <v>1.05</v>
      </c>
      <c r="I2844">
        <v>0.7</v>
      </c>
      <c r="J2844">
        <v>0.01</v>
      </c>
      <c r="K2844">
        <v>0.01</v>
      </c>
    </row>
    <row r="2845" spans="1:11" x14ac:dyDescent="0.35">
      <c r="A2845" s="204">
        <v>44286</v>
      </c>
      <c r="B2845" s="544">
        <v>2.4500000000000002</v>
      </c>
      <c r="C2845">
        <v>2.79</v>
      </c>
      <c r="D2845">
        <v>3.49</v>
      </c>
      <c r="E2845">
        <v>4.79</v>
      </c>
      <c r="F2845">
        <v>0.25</v>
      </c>
      <c r="G2845">
        <v>0.5</v>
      </c>
      <c r="H2845">
        <v>1.05</v>
      </c>
      <c r="I2845">
        <v>0.7</v>
      </c>
      <c r="J2845">
        <v>0.01</v>
      </c>
      <c r="K2845">
        <v>0.01</v>
      </c>
    </row>
    <row r="2846" spans="1:11" x14ac:dyDescent="0.35">
      <c r="A2846" s="204">
        <v>44293</v>
      </c>
      <c r="B2846" s="544">
        <v>2.4500000000000002</v>
      </c>
      <c r="C2846">
        <v>2.79</v>
      </c>
      <c r="D2846">
        <v>3.49</v>
      </c>
      <c r="E2846">
        <v>4.79</v>
      </c>
      <c r="F2846">
        <v>0.25</v>
      </c>
      <c r="G2846">
        <v>0.5</v>
      </c>
      <c r="H2846">
        <v>1.05</v>
      </c>
      <c r="I2846">
        <v>0.7</v>
      </c>
      <c r="J2846">
        <v>0.01</v>
      </c>
      <c r="K2846">
        <v>0.01</v>
      </c>
    </row>
    <row r="2847" spans="1:11" x14ac:dyDescent="0.35">
      <c r="A2847" s="204">
        <v>44300</v>
      </c>
      <c r="B2847" s="544">
        <v>2.4500000000000002</v>
      </c>
      <c r="C2847">
        <v>2.79</v>
      </c>
      <c r="D2847">
        <v>3.49</v>
      </c>
      <c r="E2847">
        <v>4.79</v>
      </c>
      <c r="F2847">
        <v>0.25</v>
      </c>
      <c r="G2847">
        <v>0.5</v>
      </c>
      <c r="H2847">
        <v>1</v>
      </c>
      <c r="I2847">
        <v>0.7</v>
      </c>
      <c r="J2847">
        <v>0.01</v>
      </c>
      <c r="K2847">
        <v>0.01</v>
      </c>
    </row>
    <row r="2848" spans="1:11" x14ac:dyDescent="0.35">
      <c r="A2848" s="204">
        <v>44307</v>
      </c>
      <c r="B2848" s="544">
        <v>2.4500000000000002</v>
      </c>
      <c r="C2848">
        <v>2.79</v>
      </c>
      <c r="D2848">
        <v>3.49</v>
      </c>
      <c r="E2848">
        <v>4.79</v>
      </c>
      <c r="F2848">
        <v>0.25</v>
      </c>
      <c r="G2848">
        <v>0.5</v>
      </c>
      <c r="H2848">
        <v>1</v>
      </c>
      <c r="I2848">
        <v>0.7</v>
      </c>
      <c r="J2848">
        <v>0.01</v>
      </c>
      <c r="K2848">
        <v>0.01</v>
      </c>
    </row>
    <row r="2849" spans="1:11" x14ac:dyDescent="0.35">
      <c r="A2849" s="204">
        <v>44314</v>
      </c>
      <c r="B2849" s="544">
        <v>2.4500000000000002</v>
      </c>
      <c r="C2849">
        <v>2.79</v>
      </c>
      <c r="D2849">
        <v>3.49</v>
      </c>
      <c r="E2849">
        <v>4.79</v>
      </c>
      <c r="F2849">
        <v>0.25</v>
      </c>
      <c r="G2849">
        <v>0.5</v>
      </c>
      <c r="H2849">
        <v>1</v>
      </c>
      <c r="I2849">
        <v>0.7</v>
      </c>
      <c r="J2849">
        <v>0.01</v>
      </c>
      <c r="K2849">
        <v>0.01</v>
      </c>
    </row>
    <row r="2850" spans="1:11" x14ac:dyDescent="0.35">
      <c r="A2850" s="204">
        <v>44321</v>
      </c>
      <c r="B2850" s="544">
        <v>2.4500000000000002</v>
      </c>
      <c r="C2850">
        <v>2.79</v>
      </c>
      <c r="D2850">
        <v>3.49</v>
      </c>
      <c r="E2850">
        <v>4.79</v>
      </c>
      <c r="F2850">
        <v>0.25</v>
      </c>
      <c r="G2850">
        <v>0.5</v>
      </c>
      <c r="H2850">
        <v>1</v>
      </c>
      <c r="I2850">
        <v>0.7</v>
      </c>
      <c r="J2850">
        <v>0.01</v>
      </c>
      <c r="K2850">
        <v>0.01</v>
      </c>
    </row>
    <row r="2851" spans="1:11" x14ac:dyDescent="0.35">
      <c r="A2851" s="204">
        <v>44328</v>
      </c>
      <c r="B2851" s="544">
        <v>2.4500000000000002</v>
      </c>
      <c r="C2851">
        <v>2.79</v>
      </c>
      <c r="D2851">
        <v>3.49</v>
      </c>
      <c r="E2851">
        <v>4.79</v>
      </c>
      <c r="F2851">
        <v>0.25</v>
      </c>
      <c r="G2851">
        <v>0.5</v>
      </c>
      <c r="H2851">
        <v>1</v>
      </c>
      <c r="I2851">
        <v>0.7</v>
      </c>
      <c r="J2851">
        <v>0.01</v>
      </c>
      <c r="K2851">
        <v>0.01</v>
      </c>
    </row>
    <row r="2852" spans="1:11" x14ac:dyDescent="0.35">
      <c r="A2852" s="204">
        <v>44335</v>
      </c>
      <c r="B2852" s="544">
        <v>2.4500000000000002</v>
      </c>
      <c r="C2852">
        <v>2.79</v>
      </c>
      <c r="D2852">
        <v>3.49</v>
      </c>
      <c r="E2852">
        <v>4.79</v>
      </c>
      <c r="F2852">
        <v>0.25</v>
      </c>
      <c r="G2852">
        <v>0.6</v>
      </c>
      <c r="H2852">
        <v>1</v>
      </c>
      <c r="I2852">
        <v>0.7</v>
      </c>
      <c r="J2852">
        <v>0.01</v>
      </c>
      <c r="K2852">
        <v>0.01</v>
      </c>
    </row>
    <row r="2853" spans="1:11" x14ac:dyDescent="0.35">
      <c r="A2853" s="204">
        <v>44342</v>
      </c>
      <c r="B2853" s="544">
        <v>2.4500000000000002</v>
      </c>
      <c r="C2853">
        <v>2.79</v>
      </c>
      <c r="D2853">
        <v>3.49</v>
      </c>
      <c r="E2853">
        <v>4.79</v>
      </c>
      <c r="F2853">
        <v>0.25</v>
      </c>
      <c r="G2853">
        <v>0.6</v>
      </c>
      <c r="H2853">
        <v>1</v>
      </c>
      <c r="I2853">
        <v>0.7</v>
      </c>
      <c r="J2853">
        <v>0.01</v>
      </c>
      <c r="K2853">
        <v>0.01</v>
      </c>
    </row>
    <row r="2854" spans="1:11" x14ac:dyDescent="0.35">
      <c r="A2854" s="204">
        <v>44349</v>
      </c>
      <c r="B2854" s="544">
        <v>2.4500000000000002</v>
      </c>
      <c r="C2854">
        <v>2.79</v>
      </c>
      <c r="D2854">
        <v>3.49</v>
      </c>
      <c r="E2854">
        <v>4.79</v>
      </c>
      <c r="F2854">
        <v>0.25</v>
      </c>
      <c r="G2854">
        <v>0.6</v>
      </c>
      <c r="H2854">
        <v>1</v>
      </c>
      <c r="I2854">
        <v>0.7</v>
      </c>
      <c r="J2854">
        <v>0.01</v>
      </c>
      <c r="K2854">
        <v>0.01</v>
      </c>
    </row>
    <row r="2855" spans="1:11" x14ac:dyDescent="0.35">
      <c r="A2855" s="204">
        <v>44356</v>
      </c>
      <c r="B2855" s="544">
        <v>2.4500000000000002</v>
      </c>
      <c r="C2855">
        <v>2.79</v>
      </c>
      <c r="D2855">
        <v>3.49</v>
      </c>
      <c r="E2855">
        <v>4.79</v>
      </c>
      <c r="F2855">
        <v>0.25</v>
      </c>
      <c r="G2855">
        <v>0.6</v>
      </c>
      <c r="H2855">
        <v>1</v>
      </c>
      <c r="I2855">
        <v>0.7</v>
      </c>
      <c r="J2855">
        <v>0.01</v>
      </c>
      <c r="K2855">
        <v>0.01</v>
      </c>
    </row>
    <row r="2856" spans="1:11" x14ac:dyDescent="0.35">
      <c r="A2856" s="204">
        <v>44363</v>
      </c>
      <c r="B2856" s="544">
        <v>2.4500000000000002</v>
      </c>
      <c r="C2856">
        <v>2.79</v>
      </c>
      <c r="D2856">
        <v>3.49</v>
      </c>
      <c r="E2856">
        <v>4.79</v>
      </c>
      <c r="F2856">
        <v>0.25</v>
      </c>
      <c r="G2856">
        <v>0.6</v>
      </c>
      <c r="H2856">
        <v>1</v>
      </c>
      <c r="I2856">
        <v>0.7</v>
      </c>
      <c r="J2856">
        <v>0.01</v>
      </c>
      <c r="K2856">
        <v>0.01</v>
      </c>
    </row>
    <row r="2857" spans="1:11" x14ac:dyDescent="0.35">
      <c r="A2857" s="204">
        <v>44370</v>
      </c>
      <c r="B2857" s="544">
        <v>2.4500000000000002</v>
      </c>
      <c r="C2857">
        <v>2.79</v>
      </c>
      <c r="D2857">
        <v>3.49</v>
      </c>
      <c r="E2857">
        <v>4.79</v>
      </c>
      <c r="F2857">
        <v>0.25</v>
      </c>
      <c r="G2857">
        <v>0.6</v>
      </c>
      <c r="H2857">
        <v>1</v>
      </c>
      <c r="I2857">
        <v>0.7</v>
      </c>
      <c r="J2857">
        <v>0.01</v>
      </c>
      <c r="K2857">
        <v>0.01</v>
      </c>
    </row>
    <row r="2858" spans="1:11" x14ac:dyDescent="0.35">
      <c r="A2858" s="204">
        <v>44377</v>
      </c>
      <c r="B2858" s="544">
        <v>2.4500000000000002</v>
      </c>
      <c r="C2858">
        <v>2.79</v>
      </c>
      <c r="D2858">
        <v>3.49</v>
      </c>
      <c r="E2858">
        <v>4.79</v>
      </c>
      <c r="F2858">
        <v>0.25</v>
      </c>
      <c r="G2858">
        <v>0.6</v>
      </c>
      <c r="H2858">
        <v>1</v>
      </c>
      <c r="I2858">
        <v>0.7</v>
      </c>
      <c r="J2858">
        <v>0.01</v>
      </c>
      <c r="K2858">
        <v>0.01</v>
      </c>
    </row>
    <row r="2859" spans="1:11" x14ac:dyDescent="0.35">
      <c r="A2859" s="204">
        <v>44384</v>
      </c>
      <c r="B2859" s="544">
        <v>2.4500000000000002</v>
      </c>
      <c r="C2859">
        <v>2.79</v>
      </c>
      <c r="D2859">
        <v>3.49</v>
      </c>
      <c r="E2859">
        <v>4.79</v>
      </c>
      <c r="F2859">
        <v>0.25</v>
      </c>
      <c r="G2859">
        <v>0.6</v>
      </c>
      <c r="H2859">
        <v>1</v>
      </c>
      <c r="I2859">
        <v>0.7</v>
      </c>
      <c r="J2859">
        <v>0.01</v>
      </c>
      <c r="K2859">
        <v>0.01</v>
      </c>
    </row>
    <row r="2860" spans="1:11" x14ac:dyDescent="0.35">
      <c r="A2860" s="204">
        <v>44391</v>
      </c>
      <c r="B2860" s="544">
        <v>2.4500000000000002</v>
      </c>
      <c r="C2860">
        <v>2.79</v>
      </c>
      <c r="D2860">
        <v>3.49</v>
      </c>
      <c r="E2860">
        <v>4.79</v>
      </c>
      <c r="F2860">
        <v>0.25</v>
      </c>
      <c r="G2860">
        <v>0.6</v>
      </c>
      <c r="H2860">
        <v>1</v>
      </c>
      <c r="I2860">
        <v>0.7</v>
      </c>
      <c r="J2860">
        <v>0.01</v>
      </c>
      <c r="K2860">
        <v>0.01</v>
      </c>
    </row>
    <row r="2861" spans="1:11" x14ac:dyDescent="0.35">
      <c r="A2861" s="204">
        <v>44398</v>
      </c>
      <c r="B2861" s="544">
        <v>2.4500000000000002</v>
      </c>
      <c r="C2861">
        <v>2.79</v>
      </c>
      <c r="D2861">
        <v>3.49</v>
      </c>
      <c r="E2861">
        <v>4.79</v>
      </c>
      <c r="F2861">
        <v>0.25</v>
      </c>
      <c r="G2861">
        <v>0.6</v>
      </c>
      <c r="H2861">
        <v>1</v>
      </c>
      <c r="I2861">
        <v>0.7</v>
      </c>
      <c r="J2861">
        <v>0.01</v>
      </c>
      <c r="K2861">
        <v>0.01</v>
      </c>
    </row>
    <row r="2862" spans="1:11" x14ac:dyDescent="0.35">
      <c r="A2862" s="204">
        <v>44405</v>
      </c>
      <c r="B2862" s="544">
        <v>2.4500000000000002</v>
      </c>
      <c r="C2862">
        <v>2.79</v>
      </c>
      <c r="D2862">
        <v>3.49</v>
      </c>
      <c r="E2862">
        <v>4.79</v>
      </c>
      <c r="F2862">
        <v>0.25</v>
      </c>
      <c r="G2862">
        <v>0.6</v>
      </c>
      <c r="H2862">
        <v>1</v>
      </c>
      <c r="I2862">
        <v>0.7</v>
      </c>
      <c r="J2862">
        <v>0.01</v>
      </c>
      <c r="K2862">
        <v>0.01</v>
      </c>
    </row>
    <row r="2863" spans="1:11" x14ac:dyDescent="0.35">
      <c r="A2863" s="204">
        <v>44412</v>
      </c>
      <c r="B2863" s="544">
        <v>2.4500000000000002</v>
      </c>
      <c r="C2863">
        <v>2.79</v>
      </c>
      <c r="D2863">
        <v>3.49</v>
      </c>
      <c r="E2863">
        <v>4.79</v>
      </c>
      <c r="F2863">
        <v>0.25</v>
      </c>
      <c r="G2863">
        <v>0.6</v>
      </c>
      <c r="H2863">
        <v>1</v>
      </c>
      <c r="I2863">
        <v>0.7</v>
      </c>
      <c r="J2863">
        <v>0.01</v>
      </c>
      <c r="K2863">
        <v>0.01</v>
      </c>
    </row>
    <row r="2864" spans="1:11" x14ac:dyDescent="0.35">
      <c r="A2864" s="204">
        <v>44419</v>
      </c>
      <c r="B2864" s="544">
        <v>2.4500000000000002</v>
      </c>
      <c r="C2864">
        <v>2.79</v>
      </c>
      <c r="D2864">
        <v>3.49</v>
      </c>
      <c r="E2864">
        <v>4.79</v>
      </c>
      <c r="F2864">
        <v>0.25</v>
      </c>
      <c r="G2864">
        <v>0.6</v>
      </c>
      <c r="H2864">
        <v>1</v>
      </c>
      <c r="I2864">
        <v>0.7</v>
      </c>
      <c r="J2864">
        <v>0.01</v>
      </c>
      <c r="K2864">
        <v>0.01</v>
      </c>
    </row>
    <row r="2865" spans="1:11" x14ac:dyDescent="0.35">
      <c r="A2865" s="204">
        <v>44426</v>
      </c>
      <c r="B2865" s="544">
        <v>2.4500000000000002</v>
      </c>
      <c r="C2865">
        <v>2.79</v>
      </c>
      <c r="D2865">
        <v>3.49</v>
      </c>
      <c r="E2865">
        <v>4.79</v>
      </c>
      <c r="F2865">
        <v>0.25</v>
      </c>
      <c r="G2865">
        <v>0.6</v>
      </c>
      <c r="H2865">
        <v>1</v>
      </c>
      <c r="I2865">
        <v>0.7</v>
      </c>
      <c r="J2865">
        <v>0.01</v>
      </c>
      <c r="K2865">
        <v>0.01</v>
      </c>
    </row>
    <row r="2866" spans="1:11" x14ac:dyDescent="0.35">
      <c r="A2866" s="204">
        <v>44433</v>
      </c>
      <c r="B2866" s="544">
        <v>2.4500000000000002</v>
      </c>
      <c r="C2866">
        <v>2.79</v>
      </c>
      <c r="D2866">
        <v>3.49</v>
      </c>
      <c r="E2866">
        <v>4.79</v>
      </c>
      <c r="F2866">
        <v>0.25</v>
      </c>
      <c r="G2866">
        <v>0.6</v>
      </c>
      <c r="H2866">
        <v>1</v>
      </c>
      <c r="I2866">
        <v>0.7</v>
      </c>
      <c r="J2866">
        <v>0.01</v>
      </c>
      <c r="K2866">
        <v>0.01</v>
      </c>
    </row>
    <row r="2867" spans="1:11" x14ac:dyDescent="0.35">
      <c r="A2867" s="204">
        <v>44440</v>
      </c>
      <c r="B2867" s="544">
        <v>2.4500000000000002</v>
      </c>
      <c r="C2867">
        <v>2.79</v>
      </c>
      <c r="D2867">
        <v>3.49</v>
      </c>
      <c r="E2867">
        <v>4.79</v>
      </c>
      <c r="F2867">
        <v>0.25</v>
      </c>
      <c r="G2867">
        <v>0.6</v>
      </c>
      <c r="H2867">
        <v>1</v>
      </c>
      <c r="I2867">
        <v>0.7</v>
      </c>
      <c r="J2867">
        <v>0.01</v>
      </c>
      <c r="K2867">
        <v>0.01</v>
      </c>
    </row>
    <row r="2868" spans="1:11" x14ac:dyDescent="0.35">
      <c r="A2868" s="204">
        <v>44447</v>
      </c>
      <c r="B2868" s="544">
        <v>2.4500000000000002</v>
      </c>
      <c r="C2868">
        <v>2.79</v>
      </c>
      <c r="D2868">
        <v>3.49</v>
      </c>
      <c r="E2868">
        <v>4.79</v>
      </c>
      <c r="F2868">
        <v>0.25</v>
      </c>
      <c r="G2868">
        <v>0.6</v>
      </c>
      <c r="H2868">
        <v>1</v>
      </c>
      <c r="I2868">
        <v>0.7</v>
      </c>
      <c r="J2868">
        <v>0.01</v>
      </c>
      <c r="K2868">
        <v>0.01</v>
      </c>
    </row>
    <row r="2869" spans="1:11" x14ac:dyDescent="0.35">
      <c r="A2869" s="204">
        <v>44454</v>
      </c>
      <c r="B2869" s="544">
        <v>2.4500000000000002</v>
      </c>
      <c r="C2869">
        <v>2.79</v>
      </c>
      <c r="D2869">
        <v>3.49</v>
      </c>
      <c r="E2869">
        <v>4.79</v>
      </c>
      <c r="F2869">
        <v>0.25</v>
      </c>
      <c r="G2869">
        <v>0.6</v>
      </c>
      <c r="H2869">
        <v>1</v>
      </c>
      <c r="I2869">
        <v>0.7</v>
      </c>
      <c r="J2869">
        <v>0.01</v>
      </c>
      <c r="K2869">
        <v>0.01</v>
      </c>
    </row>
    <row r="2870" spans="1:11" x14ac:dyDescent="0.35">
      <c r="A2870" s="204">
        <v>44461</v>
      </c>
      <c r="B2870" s="544">
        <v>2.4500000000000002</v>
      </c>
      <c r="C2870">
        <v>2.79</v>
      </c>
      <c r="D2870">
        <v>3.49</v>
      </c>
      <c r="E2870">
        <v>4.79</v>
      </c>
      <c r="F2870">
        <v>0.25</v>
      </c>
      <c r="G2870">
        <v>0.6</v>
      </c>
      <c r="H2870">
        <v>1</v>
      </c>
      <c r="I2870">
        <v>0.7</v>
      </c>
      <c r="J2870">
        <v>0.01</v>
      </c>
      <c r="K2870">
        <v>0.01</v>
      </c>
    </row>
    <row r="2871" spans="1:11" x14ac:dyDescent="0.35">
      <c r="A2871" s="204">
        <v>44468</v>
      </c>
      <c r="B2871" s="544">
        <v>2.4500000000000002</v>
      </c>
      <c r="C2871">
        <v>2.79</v>
      </c>
      <c r="D2871">
        <v>3.49</v>
      </c>
      <c r="E2871">
        <v>4.79</v>
      </c>
      <c r="F2871">
        <v>0.25</v>
      </c>
      <c r="G2871">
        <v>0.6</v>
      </c>
      <c r="H2871">
        <v>1</v>
      </c>
      <c r="I2871">
        <v>0.7</v>
      </c>
      <c r="J2871">
        <v>0.01</v>
      </c>
      <c r="K2871">
        <v>0.01</v>
      </c>
    </row>
    <row r="2872" spans="1:11" x14ac:dyDescent="0.35">
      <c r="A2872" s="204">
        <v>44475</v>
      </c>
      <c r="B2872" s="544">
        <v>2.4500000000000002</v>
      </c>
      <c r="C2872">
        <v>2.79</v>
      </c>
      <c r="D2872">
        <v>3.49</v>
      </c>
      <c r="E2872">
        <v>4.79</v>
      </c>
      <c r="F2872">
        <v>0.25</v>
      </c>
      <c r="G2872">
        <v>0.6</v>
      </c>
      <c r="H2872">
        <v>1</v>
      </c>
      <c r="I2872">
        <v>0.7</v>
      </c>
      <c r="J2872">
        <v>0.01</v>
      </c>
      <c r="K2872">
        <v>0.01</v>
      </c>
    </row>
    <row r="2873" spans="1:11" x14ac:dyDescent="0.35">
      <c r="A2873" s="204">
        <v>44482</v>
      </c>
      <c r="B2873" s="544">
        <v>2.4500000000000002</v>
      </c>
      <c r="C2873">
        <v>2.79</v>
      </c>
      <c r="D2873">
        <v>3.49</v>
      </c>
      <c r="E2873">
        <v>4.79</v>
      </c>
      <c r="F2873">
        <v>0.25</v>
      </c>
      <c r="G2873">
        <v>0.6</v>
      </c>
      <c r="H2873">
        <v>1</v>
      </c>
      <c r="I2873">
        <v>0.7</v>
      </c>
      <c r="J2873">
        <v>0.01</v>
      </c>
      <c r="K2873">
        <v>0.01</v>
      </c>
    </row>
    <row r="2874" spans="1:11" x14ac:dyDescent="0.35">
      <c r="A2874" s="204">
        <v>44489</v>
      </c>
      <c r="B2874" s="544">
        <v>2.4500000000000002</v>
      </c>
      <c r="C2874">
        <v>2.79</v>
      </c>
      <c r="D2874">
        <v>3.49</v>
      </c>
      <c r="E2874">
        <v>4.79</v>
      </c>
      <c r="F2874">
        <v>0.25</v>
      </c>
      <c r="G2874">
        <v>0.6</v>
      </c>
      <c r="H2874">
        <v>1</v>
      </c>
      <c r="I2874">
        <v>0.7</v>
      </c>
      <c r="J2874">
        <v>0.01</v>
      </c>
      <c r="K2874">
        <v>0.01</v>
      </c>
    </row>
    <row r="2875" spans="1:11" x14ac:dyDescent="0.35">
      <c r="A2875" s="204">
        <v>44496</v>
      </c>
      <c r="B2875" s="544">
        <v>2.4500000000000002</v>
      </c>
      <c r="C2875">
        <v>2.79</v>
      </c>
      <c r="D2875">
        <v>3.49</v>
      </c>
      <c r="E2875">
        <v>4.79</v>
      </c>
      <c r="F2875">
        <v>0.25</v>
      </c>
      <c r="G2875">
        <v>0.6</v>
      </c>
      <c r="H2875">
        <v>1</v>
      </c>
      <c r="I2875">
        <v>0.7</v>
      </c>
      <c r="J2875">
        <v>0.01</v>
      </c>
      <c r="K2875">
        <v>0.01</v>
      </c>
    </row>
    <row r="2876" spans="1:11" x14ac:dyDescent="0.35">
      <c r="A2876" s="204">
        <v>44503</v>
      </c>
      <c r="B2876" s="544">
        <v>2.4500000000000002</v>
      </c>
      <c r="C2876">
        <v>2.79</v>
      </c>
      <c r="D2876">
        <v>3.49</v>
      </c>
      <c r="E2876">
        <v>4.79</v>
      </c>
      <c r="F2876">
        <v>0.25</v>
      </c>
      <c r="G2876">
        <v>0.6</v>
      </c>
      <c r="H2876">
        <v>1</v>
      </c>
      <c r="I2876">
        <v>0.7</v>
      </c>
      <c r="J2876">
        <v>0.01</v>
      </c>
      <c r="K2876">
        <v>0.01</v>
      </c>
    </row>
    <row r="2877" spans="1:11" x14ac:dyDescent="0.35">
      <c r="A2877" s="204">
        <v>44510</v>
      </c>
      <c r="B2877" s="544">
        <v>2.4500000000000002</v>
      </c>
      <c r="C2877">
        <v>2.79</v>
      </c>
      <c r="D2877">
        <v>3.49</v>
      </c>
      <c r="E2877">
        <v>4.79</v>
      </c>
      <c r="F2877">
        <v>0.25</v>
      </c>
      <c r="G2877">
        <v>0.6</v>
      </c>
      <c r="H2877">
        <v>1</v>
      </c>
      <c r="I2877">
        <v>0.7</v>
      </c>
      <c r="J2877">
        <v>0.01</v>
      </c>
      <c r="K2877">
        <v>0.01</v>
      </c>
    </row>
    <row r="2878" spans="1:11" x14ac:dyDescent="0.35">
      <c r="A2878" s="204">
        <v>44517</v>
      </c>
      <c r="B2878" s="544">
        <v>2.4500000000000002</v>
      </c>
      <c r="C2878">
        <v>2.79</v>
      </c>
      <c r="D2878">
        <v>3.49</v>
      </c>
      <c r="E2878">
        <v>4.79</v>
      </c>
      <c r="F2878">
        <v>0.25</v>
      </c>
      <c r="G2878">
        <v>0.6</v>
      </c>
      <c r="H2878">
        <v>1</v>
      </c>
      <c r="I2878">
        <v>0.7</v>
      </c>
      <c r="J2878">
        <v>0.01</v>
      </c>
      <c r="K2878">
        <v>0.01</v>
      </c>
    </row>
    <row r="2879" spans="1:11" x14ac:dyDescent="0.35">
      <c r="A2879" s="204">
        <v>44524</v>
      </c>
      <c r="B2879" s="544">
        <v>2.4500000000000002</v>
      </c>
      <c r="C2879">
        <v>2.79</v>
      </c>
      <c r="D2879">
        <v>3.49</v>
      </c>
      <c r="E2879">
        <v>4.79</v>
      </c>
      <c r="F2879">
        <v>0.25</v>
      </c>
      <c r="G2879">
        <v>0.6</v>
      </c>
      <c r="H2879">
        <v>1</v>
      </c>
      <c r="I2879">
        <v>0.7</v>
      </c>
      <c r="J2879">
        <v>0.01</v>
      </c>
      <c r="K2879">
        <v>0.01</v>
      </c>
    </row>
    <row r="2880" spans="1:11" x14ac:dyDescent="0.35">
      <c r="A2880" s="204">
        <v>44531</v>
      </c>
      <c r="B2880" s="544">
        <v>2.4500000000000002</v>
      </c>
      <c r="C2880">
        <v>2.79</v>
      </c>
      <c r="D2880">
        <v>3.49</v>
      </c>
      <c r="E2880">
        <v>4.79</v>
      </c>
      <c r="F2880">
        <v>0.35</v>
      </c>
      <c r="G2880">
        <v>0.75</v>
      </c>
      <c r="H2880">
        <v>1.18</v>
      </c>
      <c r="I2880">
        <v>1.28</v>
      </c>
      <c r="J2880">
        <v>0.01</v>
      </c>
      <c r="K2880">
        <v>0.01</v>
      </c>
    </row>
    <row r="2881" spans="1:11" x14ac:dyDescent="0.35">
      <c r="A2881" s="204">
        <v>44538</v>
      </c>
      <c r="B2881" s="544">
        <v>2.4500000000000002</v>
      </c>
      <c r="C2881">
        <v>2.79</v>
      </c>
      <c r="D2881">
        <v>3.49</v>
      </c>
      <c r="E2881">
        <v>4.79</v>
      </c>
      <c r="F2881">
        <v>0.35</v>
      </c>
      <c r="G2881">
        <v>0.75</v>
      </c>
      <c r="H2881">
        <v>1.18</v>
      </c>
      <c r="I2881">
        <v>1.28</v>
      </c>
      <c r="J2881">
        <v>0.01</v>
      </c>
      <c r="K2881">
        <v>0.01</v>
      </c>
    </row>
    <row r="2882" spans="1:11" x14ac:dyDescent="0.35">
      <c r="A2882" s="204">
        <v>44545</v>
      </c>
      <c r="B2882" s="544">
        <v>2.4500000000000002</v>
      </c>
      <c r="C2882">
        <v>2.79</v>
      </c>
      <c r="D2882">
        <v>3.49</v>
      </c>
      <c r="E2882">
        <v>4.79</v>
      </c>
      <c r="F2882">
        <v>0.35</v>
      </c>
      <c r="G2882">
        <v>0.8</v>
      </c>
      <c r="H2882">
        <v>1.18</v>
      </c>
      <c r="I2882">
        <v>1.28</v>
      </c>
      <c r="J2882">
        <v>0.01</v>
      </c>
      <c r="K2882">
        <v>0.01</v>
      </c>
    </row>
    <row r="2883" spans="1:11" x14ac:dyDescent="0.35">
      <c r="A2883" s="204">
        <v>44552</v>
      </c>
      <c r="B2883" s="544">
        <v>2.4500000000000002</v>
      </c>
      <c r="C2883">
        <v>2.79</v>
      </c>
      <c r="D2883">
        <v>3.49</v>
      </c>
      <c r="E2883">
        <v>4.79</v>
      </c>
      <c r="F2883">
        <v>0.35</v>
      </c>
      <c r="G2883">
        <v>0.95</v>
      </c>
      <c r="H2883">
        <v>1.25</v>
      </c>
      <c r="I2883">
        <v>1.28</v>
      </c>
      <c r="J2883">
        <v>0.01</v>
      </c>
      <c r="K2883">
        <v>0.01</v>
      </c>
    </row>
    <row r="2884" spans="1:11" x14ac:dyDescent="0.35">
      <c r="A2884" s="204">
        <v>44559</v>
      </c>
      <c r="B2884" s="544">
        <v>2.4500000000000002</v>
      </c>
      <c r="C2884">
        <v>2.79</v>
      </c>
      <c r="D2884">
        <v>3.49</v>
      </c>
      <c r="E2884">
        <v>4.79</v>
      </c>
      <c r="F2884">
        <v>0.35</v>
      </c>
      <c r="G2884">
        <v>0.95</v>
      </c>
      <c r="H2884">
        <v>1.25</v>
      </c>
      <c r="I2884">
        <v>1.28</v>
      </c>
      <c r="J2884">
        <v>0.01</v>
      </c>
      <c r="K2884">
        <v>0.01</v>
      </c>
    </row>
    <row r="2885" spans="1:11" x14ac:dyDescent="0.35">
      <c r="A2885" s="204">
        <v>44566</v>
      </c>
      <c r="B2885" s="544">
        <v>2.4500000000000002</v>
      </c>
      <c r="C2885">
        <v>2.79</v>
      </c>
      <c r="D2885">
        <v>3.49</v>
      </c>
      <c r="E2885">
        <v>4.79</v>
      </c>
      <c r="F2885">
        <v>0.35</v>
      </c>
      <c r="G2885">
        <v>0.95</v>
      </c>
      <c r="H2885">
        <v>1.25</v>
      </c>
      <c r="I2885">
        <v>1.28</v>
      </c>
      <c r="J2885">
        <v>0.01</v>
      </c>
      <c r="K2885">
        <v>0.01</v>
      </c>
    </row>
    <row r="2886" spans="1:11" x14ac:dyDescent="0.35">
      <c r="A2886" s="204">
        <v>44573</v>
      </c>
      <c r="B2886" s="544">
        <v>2.4500000000000002</v>
      </c>
      <c r="C2886">
        <v>2.79</v>
      </c>
      <c r="D2886">
        <v>3.49</v>
      </c>
      <c r="E2886">
        <v>4.79</v>
      </c>
      <c r="F2886">
        <v>0.4</v>
      </c>
      <c r="G2886">
        <v>0.95</v>
      </c>
      <c r="H2886">
        <v>1.75</v>
      </c>
      <c r="I2886">
        <v>1.05</v>
      </c>
      <c r="J2886">
        <v>0.01</v>
      </c>
      <c r="K2886">
        <v>0.01</v>
      </c>
    </row>
    <row r="2887" spans="1:11" x14ac:dyDescent="0.35">
      <c r="A2887" s="204">
        <v>44580</v>
      </c>
      <c r="B2887" s="544">
        <v>2.4500000000000002</v>
      </c>
      <c r="C2887">
        <v>2.79</v>
      </c>
      <c r="D2887">
        <v>3.49</v>
      </c>
      <c r="E2887">
        <v>4.79</v>
      </c>
      <c r="F2887">
        <v>0.4</v>
      </c>
      <c r="G2887">
        <v>0.95</v>
      </c>
      <c r="H2887">
        <v>1.75</v>
      </c>
      <c r="I2887">
        <v>1.05</v>
      </c>
      <c r="J2887">
        <v>0.01</v>
      </c>
      <c r="K2887">
        <v>0.01</v>
      </c>
    </row>
    <row r="2888" spans="1:11" x14ac:dyDescent="0.35">
      <c r="A2888" s="204">
        <v>44587</v>
      </c>
      <c r="B2888" s="544">
        <v>2.4500000000000002</v>
      </c>
      <c r="C2888">
        <v>2.79</v>
      </c>
      <c r="D2888">
        <v>3.49</v>
      </c>
      <c r="E2888">
        <v>4.79</v>
      </c>
      <c r="F2888">
        <v>0.4</v>
      </c>
      <c r="G2888">
        <v>0.95</v>
      </c>
      <c r="H2888">
        <v>1.75</v>
      </c>
      <c r="I2888">
        <v>1.05</v>
      </c>
      <c r="J2888">
        <v>0.01</v>
      </c>
      <c r="K2888">
        <v>0.01</v>
      </c>
    </row>
    <row r="2889" spans="1:11" x14ac:dyDescent="0.35">
      <c r="A2889" s="204">
        <v>44594</v>
      </c>
      <c r="B2889" s="544">
        <v>2.4500000000000002</v>
      </c>
      <c r="C2889">
        <v>2.79</v>
      </c>
      <c r="D2889">
        <v>3.49</v>
      </c>
      <c r="E2889">
        <v>4.79</v>
      </c>
      <c r="F2889">
        <v>0.4</v>
      </c>
      <c r="G2889">
        <v>0.95</v>
      </c>
      <c r="H2889">
        <v>1.75</v>
      </c>
      <c r="I2889">
        <v>1.05</v>
      </c>
      <c r="J2889">
        <v>0.01</v>
      </c>
      <c r="K2889">
        <v>0.01</v>
      </c>
    </row>
    <row r="2890" spans="1:11" x14ac:dyDescent="0.35">
      <c r="A2890" s="204">
        <v>44601</v>
      </c>
      <c r="B2890" s="544">
        <v>2.4500000000000002</v>
      </c>
      <c r="C2890">
        <v>2.79</v>
      </c>
      <c r="D2890">
        <v>3.49</v>
      </c>
      <c r="E2890">
        <v>4.79</v>
      </c>
      <c r="F2890">
        <v>0.4</v>
      </c>
      <c r="G2890">
        <v>0.95</v>
      </c>
      <c r="H2890">
        <v>1.75</v>
      </c>
      <c r="I2890">
        <v>1.05</v>
      </c>
      <c r="J2890">
        <v>0.01</v>
      </c>
      <c r="K2890">
        <v>0.01</v>
      </c>
    </row>
    <row r="2891" spans="1:11" x14ac:dyDescent="0.35">
      <c r="A2891" s="204">
        <v>44608</v>
      </c>
      <c r="B2891" s="544">
        <v>2.4500000000000002</v>
      </c>
      <c r="C2891">
        <v>2.79</v>
      </c>
      <c r="D2891">
        <v>3.49</v>
      </c>
      <c r="E2891">
        <v>4.79</v>
      </c>
      <c r="F2891">
        <v>0.6</v>
      </c>
      <c r="G2891">
        <v>1.25</v>
      </c>
      <c r="H2891">
        <v>1.65</v>
      </c>
      <c r="I2891">
        <v>1.1499999999999999</v>
      </c>
      <c r="J2891">
        <v>0.01</v>
      </c>
      <c r="K2891">
        <v>0.01</v>
      </c>
    </row>
    <row r="2892" spans="1:11" x14ac:dyDescent="0.35">
      <c r="A2892" s="204">
        <v>44615</v>
      </c>
      <c r="B2892" s="544">
        <v>2.4500000000000002</v>
      </c>
      <c r="C2892">
        <v>2.79</v>
      </c>
      <c r="D2892">
        <v>3.49</v>
      </c>
      <c r="E2892">
        <v>4.79</v>
      </c>
      <c r="F2892">
        <v>0.6</v>
      </c>
      <c r="G2892">
        <v>1.35</v>
      </c>
      <c r="H2892">
        <v>1.75</v>
      </c>
      <c r="I2892">
        <v>1.45</v>
      </c>
      <c r="J2892">
        <v>0.01</v>
      </c>
      <c r="K2892">
        <v>0.01</v>
      </c>
    </row>
    <row r="2893" spans="1:11" x14ac:dyDescent="0.35">
      <c r="A2893" s="204">
        <v>44622</v>
      </c>
      <c r="B2893" s="544">
        <v>2.4500000000000002</v>
      </c>
      <c r="C2893">
        <v>2.79</v>
      </c>
      <c r="D2893">
        <v>3.49</v>
      </c>
      <c r="E2893">
        <v>4.79</v>
      </c>
      <c r="F2893">
        <v>0.6</v>
      </c>
      <c r="G2893">
        <v>1.35</v>
      </c>
      <c r="H2893">
        <v>1.75</v>
      </c>
      <c r="I2893">
        <v>1.45</v>
      </c>
      <c r="J2893">
        <v>0.01</v>
      </c>
      <c r="K2893">
        <v>0.01</v>
      </c>
    </row>
    <row r="2894" spans="1:11" x14ac:dyDescent="0.35">
      <c r="A2894" s="204">
        <v>44629</v>
      </c>
      <c r="B2894" s="544">
        <v>2.7</v>
      </c>
      <c r="C2894">
        <v>2.79</v>
      </c>
      <c r="D2894">
        <v>3.49</v>
      </c>
      <c r="E2894">
        <v>4.79</v>
      </c>
      <c r="F2894">
        <v>0.65</v>
      </c>
      <c r="G2894">
        <v>1.28</v>
      </c>
      <c r="H2894">
        <v>1.85</v>
      </c>
      <c r="I2894">
        <v>1.55</v>
      </c>
      <c r="J2894">
        <v>0.01</v>
      </c>
      <c r="K2894">
        <v>0.01</v>
      </c>
    </row>
    <row r="2895" spans="1:11" x14ac:dyDescent="0.35">
      <c r="A2895" s="204">
        <v>44636</v>
      </c>
      <c r="B2895" s="544">
        <v>2.7</v>
      </c>
      <c r="C2895">
        <v>2.79</v>
      </c>
      <c r="D2895">
        <v>3.49</v>
      </c>
      <c r="E2895">
        <v>4.79</v>
      </c>
      <c r="F2895">
        <v>0.78</v>
      </c>
      <c r="G2895">
        <v>1.3</v>
      </c>
      <c r="H2895">
        <v>1.85</v>
      </c>
      <c r="I2895">
        <v>1.55</v>
      </c>
      <c r="J2895">
        <v>0.01</v>
      </c>
      <c r="K2895">
        <v>0.01</v>
      </c>
    </row>
    <row r="2896" spans="1:11" x14ac:dyDescent="0.35">
      <c r="A2896" s="204">
        <v>44643</v>
      </c>
      <c r="B2896" s="544">
        <v>2.7</v>
      </c>
      <c r="C2896">
        <v>2.94</v>
      </c>
      <c r="D2896">
        <v>3.49</v>
      </c>
      <c r="E2896">
        <v>4.79</v>
      </c>
      <c r="F2896">
        <v>0.78</v>
      </c>
      <c r="G2896">
        <v>1.3</v>
      </c>
      <c r="H2896">
        <v>1.85</v>
      </c>
      <c r="I2896">
        <v>1.65</v>
      </c>
      <c r="J2896">
        <v>0.01</v>
      </c>
      <c r="K2896">
        <v>0.01</v>
      </c>
    </row>
    <row r="2897" spans="1:11" x14ac:dyDescent="0.35">
      <c r="A2897" s="204">
        <v>44650</v>
      </c>
      <c r="B2897" s="544">
        <v>2.7</v>
      </c>
      <c r="C2897">
        <v>2.99</v>
      </c>
      <c r="D2897">
        <v>3.69</v>
      </c>
      <c r="E2897">
        <v>4.79</v>
      </c>
      <c r="F2897">
        <v>0.95</v>
      </c>
      <c r="G2897">
        <v>2.1</v>
      </c>
      <c r="H2897">
        <v>2.2799999999999998</v>
      </c>
      <c r="I2897">
        <v>1.9</v>
      </c>
      <c r="J2897">
        <v>0.01</v>
      </c>
      <c r="K2897">
        <v>0.01</v>
      </c>
    </row>
    <row r="2898" spans="1:11" x14ac:dyDescent="0.35">
      <c r="A2898" s="204">
        <v>44657</v>
      </c>
      <c r="B2898" s="544">
        <v>2.7</v>
      </c>
      <c r="C2898">
        <v>3.09</v>
      </c>
      <c r="D2898">
        <v>3.89</v>
      </c>
      <c r="E2898">
        <v>4.79</v>
      </c>
      <c r="F2898">
        <v>1.2</v>
      </c>
      <c r="G2898">
        <v>1.75</v>
      </c>
      <c r="H2898">
        <v>2.35</v>
      </c>
      <c r="I2898">
        <v>1.9</v>
      </c>
      <c r="J2898">
        <v>0.01</v>
      </c>
      <c r="K2898">
        <v>0.01</v>
      </c>
    </row>
    <row r="2899" spans="1:11" x14ac:dyDescent="0.35">
      <c r="A2899" s="204">
        <v>44664</v>
      </c>
      <c r="B2899" s="544">
        <v>2.7</v>
      </c>
      <c r="C2899">
        <v>3.09</v>
      </c>
      <c r="D2899">
        <v>3.89</v>
      </c>
      <c r="E2899">
        <v>4.79</v>
      </c>
      <c r="F2899">
        <v>1.25</v>
      </c>
      <c r="G2899">
        <v>1.75</v>
      </c>
      <c r="H2899">
        <v>2.5</v>
      </c>
      <c r="I2899">
        <v>1.9</v>
      </c>
      <c r="J2899">
        <v>0.01</v>
      </c>
      <c r="K2899">
        <v>0.01</v>
      </c>
    </row>
    <row r="2900" spans="1:11" x14ac:dyDescent="0.35">
      <c r="A2900" s="204">
        <v>44671</v>
      </c>
      <c r="B2900" s="544">
        <v>3.2</v>
      </c>
      <c r="C2900">
        <v>3.09</v>
      </c>
      <c r="D2900">
        <v>3.89</v>
      </c>
      <c r="E2900">
        <v>4.99</v>
      </c>
      <c r="F2900">
        <v>1.25</v>
      </c>
      <c r="G2900">
        <v>1.75</v>
      </c>
      <c r="H2900">
        <v>2.5</v>
      </c>
      <c r="I2900">
        <v>1.9</v>
      </c>
      <c r="J2900">
        <v>0.01</v>
      </c>
      <c r="K2900">
        <v>0.01</v>
      </c>
    </row>
    <row r="2901" spans="1:11" x14ac:dyDescent="0.35">
      <c r="A2901" s="204">
        <v>44678</v>
      </c>
      <c r="B2901" s="544">
        <v>3.2</v>
      </c>
      <c r="C2901">
        <v>3.29</v>
      </c>
      <c r="D2901">
        <v>4.09</v>
      </c>
      <c r="E2901">
        <v>4.99</v>
      </c>
      <c r="F2901">
        <v>1.25</v>
      </c>
      <c r="G2901">
        <v>1.75</v>
      </c>
      <c r="H2901">
        <v>2.5</v>
      </c>
      <c r="I2901">
        <v>1.9</v>
      </c>
      <c r="J2901">
        <v>0.01</v>
      </c>
      <c r="K2901">
        <v>0.01</v>
      </c>
    </row>
    <row r="2902" spans="1:11" x14ac:dyDescent="0.35">
      <c r="A2902" s="204">
        <v>44685</v>
      </c>
      <c r="B2902" s="544">
        <v>3.2</v>
      </c>
      <c r="C2902">
        <v>3.29</v>
      </c>
      <c r="D2902">
        <v>4.09</v>
      </c>
      <c r="E2902">
        <v>4.99</v>
      </c>
      <c r="F2902">
        <v>1.25</v>
      </c>
      <c r="G2902">
        <v>1.75</v>
      </c>
      <c r="H2902">
        <v>2.5</v>
      </c>
      <c r="I2902">
        <v>1.9</v>
      </c>
      <c r="J2902">
        <v>0.01</v>
      </c>
      <c r="K2902">
        <v>0.01</v>
      </c>
    </row>
    <row r="2903" spans="1:11" x14ac:dyDescent="0.35">
      <c r="A2903" s="204">
        <v>44692</v>
      </c>
      <c r="B2903" s="544">
        <v>3.2</v>
      </c>
      <c r="C2903">
        <v>3.49</v>
      </c>
      <c r="D2903">
        <v>4.3899999999999997</v>
      </c>
      <c r="E2903">
        <v>4.99</v>
      </c>
      <c r="F2903">
        <v>1.25</v>
      </c>
      <c r="G2903">
        <v>2.2000000000000002</v>
      </c>
      <c r="H2903">
        <v>2.5</v>
      </c>
      <c r="I2903">
        <v>1.9</v>
      </c>
      <c r="J2903">
        <v>0.01</v>
      </c>
      <c r="K2903">
        <v>0.01</v>
      </c>
    </row>
    <row r="2904" spans="1:11" x14ac:dyDescent="0.35">
      <c r="A2904" s="204">
        <v>44699</v>
      </c>
      <c r="B2904" s="544">
        <v>3.2</v>
      </c>
      <c r="C2904">
        <v>3.49</v>
      </c>
      <c r="D2904">
        <v>4.3899999999999997</v>
      </c>
      <c r="E2904">
        <v>4.99</v>
      </c>
      <c r="F2904">
        <v>1.25</v>
      </c>
      <c r="G2904">
        <v>2.2000000000000002</v>
      </c>
      <c r="H2904">
        <v>2.5</v>
      </c>
      <c r="I2904">
        <v>1.9</v>
      </c>
      <c r="J2904">
        <v>0.01</v>
      </c>
      <c r="K2904">
        <v>0.01</v>
      </c>
    </row>
    <row r="2905" spans="1:11" x14ac:dyDescent="0.35">
      <c r="A2905" s="204">
        <v>44706</v>
      </c>
      <c r="B2905" s="544">
        <v>3.2</v>
      </c>
      <c r="C2905">
        <v>3.79</v>
      </c>
      <c r="D2905">
        <v>4.49</v>
      </c>
      <c r="E2905">
        <v>5.39</v>
      </c>
      <c r="F2905">
        <v>1.25</v>
      </c>
      <c r="G2905">
        <v>2.2000000000000002</v>
      </c>
      <c r="H2905">
        <v>2.5</v>
      </c>
      <c r="I2905">
        <v>1.9</v>
      </c>
      <c r="J2905">
        <v>0.01</v>
      </c>
      <c r="K2905">
        <v>0.01</v>
      </c>
    </row>
    <row r="2906" spans="1:11" x14ac:dyDescent="0.35">
      <c r="A2906" s="204">
        <v>44713</v>
      </c>
      <c r="B2906" s="544">
        <v>3.2</v>
      </c>
      <c r="C2906">
        <v>3.79</v>
      </c>
      <c r="D2906">
        <v>4.49</v>
      </c>
      <c r="E2906">
        <v>5.39</v>
      </c>
      <c r="F2906">
        <v>1.25</v>
      </c>
      <c r="G2906">
        <v>2.2000000000000002</v>
      </c>
      <c r="H2906">
        <v>2.5</v>
      </c>
      <c r="I2906">
        <v>2.4</v>
      </c>
      <c r="J2906">
        <v>0.01</v>
      </c>
      <c r="K2906">
        <v>0.01</v>
      </c>
    </row>
    <row r="2907" spans="1:11" x14ac:dyDescent="0.35">
      <c r="A2907" s="204">
        <v>44720</v>
      </c>
      <c r="B2907" s="544">
        <v>3.7</v>
      </c>
      <c r="C2907">
        <v>3.79</v>
      </c>
      <c r="D2907">
        <v>4.49</v>
      </c>
      <c r="E2907">
        <v>5.39</v>
      </c>
      <c r="F2907">
        <v>1.25</v>
      </c>
      <c r="G2907">
        <v>2.2000000000000002</v>
      </c>
      <c r="H2907">
        <v>2.5</v>
      </c>
      <c r="I2907">
        <v>2.4</v>
      </c>
      <c r="J2907">
        <v>0.01</v>
      </c>
      <c r="K2907">
        <v>0.01</v>
      </c>
    </row>
    <row r="2908" spans="1:11" x14ac:dyDescent="0.35">
      <c r="A2908" s="204">
        <v>44727</v>
      </c>
      <c r="B2908" s="544">
        <v>3.7</v>
      </c>
      <c r="C2908">
        <v>4.29</v>
      </c>
      <c r="D2908">
        <v>4.8899999999999997</v>
      </c>
      <c r="E2908">
        <v>5.64</v>
      </c>
      <c r="F2908">
        <v>1.25</v>
      </c>
      <c r="G2908">
        <v>2.2000000000000002</v>
      </c>
      <c r="H2908">
        <v>2.5</v>
      </c>
      <c r="I2908">
        <v>2.4</v>
      </c>
      <c r="J2908">
        <v>0.01</v>
      </c>
      <c r="K2908">
        <v>0.01</v>
      </c>
    </row>
    <row r="2909" spans="1:11" x14ac:dyDescent="0.35">
      <c r="A2909" s="204">
        <v>44734</v>
      </c>
      <c r="B2909" s="544">
        <v>3.7</v>
      </c>
      <c r="C2909">
        <v>4.6900000000000004</v>
      </c>
      <c r="D2909">
        <v>5.24</v>
      </c>
      <c r="E2909">
        <v>6.04</v>
      </c>
      <c r="F2909">
        <v>1.25</v>
      </c>
      <c r="G2909">
        <v>2.2000000000000002</v>
      </c>
      <c r="H2909">
        <v>2.95</v>
      </c>
      <c r="I2909">
        <v>2.4</v>
      </c>
      <c r="J2909">
        <v>0.01</v>
      </c>
      <c r="K2909">
        <v>0.01</v>
      </c>
    </row>
    <row r="2910" spans="1:11" x14ac:dyDescent="0.35">
      <c r="A2910" s="204">
        <v>44741</v>
      </c>
      <c r="B2910" s="544">
        <v>3.7</v>
      </c>
      <c r="C2910">
        <v>4.74</v>
      </c>
      <c r="D2910">
        <v>5.39</v>
      </c>
      <c r="E2910">
        <v>6.04</v>
      </c>
      <c r="F2910">
        <v>2</v>
      </c>
      <c r="G2910">
        <v>2.75</v>
      </c>
      <c r="H2910">
        <v>2.95</v>
      </c>
      <c r="I2910">
        <v>2.4500000000000002</v>
      </c>
      <c r="J2910">
        <v>0.01</v>
      </c>
      <c r="K2910">
        <v>0.01</v>
      </c>
    </row>
    <row r="2911" spans="1:11" x14ac:dyDescent="0.35">
      <c r="A2911" s="204">
        <v>44748</v>
      </c>
      <c r="B2911" s="544">
        <v>3.7</v>
      </c>
      <c r="C2911">
        <v>4.74</v>
      </c>
      <c r="D2911">
        <v>5.39</v>
      </c>
      <c r="E2911">
        <v>6.04</v>
      </c>
      <c r="F2911">
        <v>2</v>
      </c>
      <c r="G2911">
        <v>2.75</v>
      </c>
      <c r="H2911">
        <v>2.95</v>
      </c>
      <c r="I2911">
        <v>2.4500000000000002</v>
      </c>
      <c r="J2911">
        <v>0.01</v>
      </c>
      <c r="K2911">
        <v>0.01</v>
      </c>
    </row>
    <row r="2912" spans="1:11" x14ac:dyDescent="0.35">
      <c r="A2912" s="204">
        <v>44755</v>
      </c>
      <c r="B2912" s="544">
        <v>3.7</v>
      </c>
      <c r="C2912">
        <v>4.74</v>
      </c>
      <c r="D2912">
        <v>5.39</v>
      </c>
      <c r="E2912">
        <v>6.04</v>
      </c>
      <c r="F2912">
        <v>2</v>
      </c>
      <c r="G2912">
        <v>2.75</v>
      </c>
      <c r="H2912">
        <v>2.95</v>
      </c>
      <c r="I2912">
        <v>2.4500000000000002</v>
      </c>
      <c r="J2912">
        <v>0.01</v>
      </c>
      <c r="K2912">
        <v>0.01</v>
      </c>
    </row>
    <row r="2913" spans="1:11" x14ac:dyDescent="0.35">
      <c r="A2913" s="204">
        <v>44762</v>
      </c>
      <c r="B2913" s="544">
        <v>4.7</v>
      </c>
      <c r="C2913">
        <v>4.74</v>
      </c>
      <c r="D2913">
        <v>5.39</v>
      </c>
      <c r="E2913">
        <v>6.04</v>
      </c>
      <c r="F2913">
        <v>1.95</v>
      </c>
      <c r="G2913">
        <v>2.75</v>
      </c>
      <c r="H2913">
        <v>3.45</v>
      </c>
      <c r="I2913">
        <v>2.95</v>
      </c>
      <c r="J2913">
        <v>0.01</v>
      </c>
      <c r="K2913">
        <v>0.01</v>
      </c>
    </row>
    <row r="2914" spans="1:11" x14ac:dyDescent="0.35">
      <c r="A2914" s="204">
        <v>44769</v>
      </c>
      <c r="B2914" s="544">
        <v>4.7</v>
      </c>
      <c r="C2914">
        <v>5.19</v>
      </c>
      <c r="D2914">
        <v>5.64</v>
      </c>
      <c r="E2914">
        <v>6.14</v>
      </c>
      <c r="F2914">
        <v>2</v>
      </c>
      <c r="G2914">
        <v>2.75</v>
      </c>
      <c r="H2914">
        <v>3.45</v>
      </c>
      <c r="I2914">
        <v>2.95</v>
      </c>
      <c r="J2914">
        <v>0.01</v>
      </c>
      <c r="K2914">
        <v>0.01</v>
      </c>
    </row>
    <row r="2915" spans="1:11" x14ac:dyDescent="0.35">
      <c r="A2915" s="204">
        <v>44776</v>
      </c>
      <c r="B2915" s="544">
        <v>4.7</v>
      </c>
      <c r="C2915">
        <v>5.19</v>
      </c>
      <c r="D2915">
        <v>5.64</v>
      </c>
      <c r="E2915">
        <v>6.14</v>
      </c>
      <c r="F2915">
        <v>2</v>
      </c>
      <c r="G2915">
        <v>2.75</v>
      </c>
      <c r="H2915">
        <v>3.45</v>
      </c>
      <c r="I2915">
        <v>3.4</v>
      </c>
      <c r="J2915">
        <v>0.01</v>
      </c>
      <c r="K2915">
        <v>0.01</v>
      </c>
    </row>
    <row r="2916" spans="1:11" x14ac:dyDescent="0.35">
      <c r="A2916" s="204">
        <v>44783</v>
      </c>
      <c r="B2916" s="544">
        <v>4.7</v>
      </c>
      <c r="C2916">
        <v>5.19</v>
      </c>
      <c r="D2916">
        <v>5.64</v>
      </c>
      <c r="E2916">
        <v>6.14</v>
      </c>
      <c r="F2916">
        <v>2</v>
      </c>
      <c r="G2916">
        <v>2.75</v>
      </c>
      <c r="H2916">
        <v>3.45</v>
      </c>
      <c r="I2916">
        <v>3.4</v>
      </c>
      <c r="J2916">
        <v>0.01</v>
      </c>
      <c r="K2916">
        <v>0.01</v>
      </c>
    </row>
    <row r="2917" spans="1:11" x14ac:dyDescent="0.35">
      <c r="A2917" s="204">
        <v>44790</v>
      </c>
      <c r="B2917" s="544">
        <v>4.7</v>
      </c>
      <c r="C2917">
        <v>5.19</v>
      </c>
      <c r="D2917">
        <v>5.64</v>
      </c>
      <c r="E2917">
        <v>6.14</v>
      </c>
      <c r="F2917">
        <v>2</v>
      </c>
      <c r="G2917">
        <v>2.75</v>
      </c>
      <c r="H2917">
        <v>3.45</v>
      </c>
      <c r="I2917">
        <v>3.4</v>
      </c>
      <c r="J2917">
        <v>0.01</v>
      </c>
      <c r="K2917">
        <v>0.01</v>
      </c>
    </row>
    <row r="2918" spans="1:11" x14ac:dyDescent="0.35">
      <c r="A2918" s="204">
        <v>44797</v>
      </c>
      <c r="B2918" s="544">
        <v>4.7</v>
      </c>
      <c r="C2918">
        <v>5.19</v>
      </c>
      <c r="D2918">
        <v>5.64</v>
      </c>
      <c r="E2918">
        <v>6.14</v>
      </c>
      <c r="F2918">
        <v>2</v>
      </c>
      <c r="G2918">
        <v>2.75</v>
      </c>
      <c r="H2918">
        <v>3.45</v>
      </c>
      <c r="I2918">
        <v>3.4</v>
      </c>
      <c r="J2918">
        <v>0.01</v>
      </c>
      <c r="K2918">
        <v>0.01</v>
      </c>
    </row>
    <row r="2919" spans="1:11" x14ac:dyDescent="0.35">
      <c r="A2919" s="204">
        <v>44804</v>
      </c>
      <c r="B2919" s="544">
        <v>4.7</v>
      </c>
      <c r="C2919">
        <v>5.19</v>
      </c>
      <c r="D2919">
        <v>5.64</v>
      </c>
      <c r="E2919">
        <v>6.14</v>
      </c>
      <c r="F2919">
        <v>2</v>
      </c>
      <c r="G2919">
        <v>2.75</v>
      </c>
      <c r="H2919">
        <v>3.45</v>
      </c>
      <c r="I2919">
        <v>3.4</v>
      </c>
      <c r="J2919">
        <v>0.01</v>
      </c>
      <c r="K2919">
        <v>0.01</v>
      </c>
    </row>
    <row r="2920" spans="1:11" x14ac:dyDescent="0.35">
      <c r="A2920" s="204">
        <v>44811</v>
      </c>
      <c r="B2920" s="544">
        <v>4.7</v>
      </c>
      <c r="C2920">
        <v>5.19</v>
      </c>
      <c r="D2920">
        <v>5.64</v>
      </c>
      <c r="E2920">
        <v>6.14</v>
      </c>
      <c r="F2920">
        <v>2</v>
      </c>
      <c r="G2920">
        <v>2.75</v>
      </c>
      <c r="H2920">
        <v>3.45</v>
      </c>
      <c r="I2920">
        <v>3.4</v>
      </c>
      <c r="J2920">
        <v>0.01</v>
      </c>
      <c r="K2920">
        <v>0.01</v>
      </c>
    </row>
    <row r="2921" spans="1:11" x14ac:dyDescent="0.35">
      <c r="A2921" s="204">
        <v>44818</v>
      </c>
      <c r="B2921" s="544">
        <v>5.45</v>
      </c>
      <c r="C2921">
        <v>5.39</v>
      </c>
      <c r="D2921">
        <v>5.64</v>
      </c>
      <c r="E2921">
        <v>6.14</v>
      </c>
      <c r="F2921">
        <v>2</v>
      </c>
      <c r="G2921">
        <v>2.75</v>
      </c>
      <c r="H2921">
        <v>3.45</v>
      </c>
      <c r="I2921">
        <v>3.4</v>
      </c>
      <c r="J2921">
        <v>0.01</v>
      </c>
      <c r="K2921">
        <v>0.01</v>
      </c>
    </row>
    <row r="2922" spans="1:11" x14ac:dyDescent="0.35">
      <c r="A2922" s="204">
        <v>44825</v>
      </c>
      <c r="B2922" s="544">
        <v>5.45</v>
      </c>
      <c r="C2922">
        <v>5.69</v>
      </c>
      <c r="D2922">
        <v>5.64</v>
      </c>
      <c r="E2922">
        <v>6.14</v>
      </c>
      <c r="F2922">
        <v>2</v>
      </c>
      <c r="G2922">
        <v>2.75</v>
      </c>
      <c r="H2922">
        <v>3.45</v>
      </c>
      <c r="I2922">
        <v>3.4</v>
      </c>
      <c r="J2922">
        <v>0.01</v>
      </c>
      <c r="K2922">
        <v>0.01</v>
      </c>
    </row>
    <row r="2923" spans="1:11" x14ac:dyDescent="0.35">
      <c r="A2923" s="204">
        <v>44832</v>
      </c>
      <c r="B2923" s="544">
        <v>5.45</v>
      </c>
      <c r="C2923">
        <v>5.69</v>
      </c>
      <c r="D2923">
        <v>5.74</v>
      </c>
      <c r="E2923">
        <v>6.14</v>
      </c>
      <c r="F2923">
        <v>2</v>
      </c>
      <c r="G2923">
        <v>2.75</v>
      </c>
      <c r="H2923">
        <v>3.45</v>
      </c>
      <c r="I2923">
        <v>3.4</v>
      </c>
      <c r="J2923">
        <v>0.01</v>
      </c>
      <c r="K2923">
        <v>0.01</v>
      </c>
    </row>
    <row r="2924" spans="1:11" x14ac:dyDescent="0.35">
      <c r="A2924" s="204">
        <v>44839</v>
      </c>
      <c r="B2924" s="544">
        <v>5.45</v>
      </c>
      <c r="C2924">
        <v>6.09</v>
      </c>
      <c r="D2924">
        <v>6.04</v>
      </c>
      <c r="E2924">
        <v>6.14</v>
      </c>
      <c r="F2924">
        <v>2</v>
      </c>
      <c r="G2924">
        <v>2.75</v>
      </c>
      <c r="H2924">
        <v>3.45</v>
      </c>
      <c r="I2924">
        <v>3.4</v>
      </c>
      <c r="J2924">
        <v>0.01</v>
      </c>
      <c r="K2924">
        <v>0.01</v>
      </c>
    </row>
    <row r="2925" spans="1:11" x14ac:dyDescent="0.35">
      <c r="A2925" s="204">
        <v>44846</v>
      </c>
      <c r="B2925" s="544">
        <v>5.45</v>
      </c>
      <c r="C2925">
        <v>6.09</v>
      </c>
      <c r="D2925">
        <v>6.04</v>
      </c>
      <c r="E2925">
        <v>6.14</v>
      </c>
      <c r="F2925">
        <v>2</v>
      </c>
      <c r="G2925">
        <v>2.75</v>
      </c>
      <c r="H2925">
        <v>3.45</v>
      </c>
      <c r="I2925">
        <v>3.4</v>
      </c>
      <c r="J2925">
        <v>0.01</v>
      </c>
      <c r="K2925">
        <v>0.01</v>
      </c>
    </row>
    <row r="2926" spans="1:11" x14ac:dyDescent="0.35">
      <c r="A2926" s="204">
        <v>44853</v>
      </c>
      <c r="B2926" s="544">
        <v>5.45</v>
      </c>
      <c r="C2926">
        <v>6.09</v>
      </c>
      <c r="D2926">
        <v>6.04</v>
      </c>
      <c r="E2926">
        <v>6.49</v>
      </c>
      <c r="F2926">
        <v>2</v>
      </c>
      <c r="G2926">
        <v>2.75</v>
      </c>
      <c r="H2926">
        <v>3.45</v>
      </c>
      <c r="I2926">
        <v>3.4</v>
      </c>
      <c r="J2926">
        <v>0.01</v>
      </c>
      <c r="K2926">
        <v>0.01</v>
      </c>
    </row>
    <row r="2927" spans="1:11" x14ac:dyDescent="0.35">
      <c r="A2927" s="204">
        <v>44860</v>
      </c>
      <c r="B2927" s="544">
        <v>5.45</v>
      </c>
      <c r="C2927">
        <v>6.09</v>
      </c>
      <c r="D2927">
        <v>6.04</v>
      </c>
      <c r="E2927">
        <v>6.49</v>
      </c>
      <c r="F2927">
        <v>2</v>
      </c>
      <c r="G2927">
        <v>2.75</v>
      </c>
      <c r="H2927">
        <v>3.45</v>
      </c>
      <c r="I2927">
        <v>3.4</v>
      </c>
      <c r="J2927">
        <v>0.01</v>
      </c>
      <c r="K2927">
        <v>0.01</v>
      </c>
    </row>
    <row r="2928" spans="1:11" x14ac:dyDescent="0.35">
      <c r="A2928" s="204">
        <v>44867</v>
      </c>
      <c r="B2928" s="544">
        <v>5.95</v>
      </c>
      <c r="C2928">
        <v>6.09</v>
      </c>
      <c r="D2928">
        <v>6.04</v>
      </c>
      <c r="E2928">
        <v>6.49</v>
      </c>
      <c r="F2928">
        <v>2</v>
      </c>
      <c r="G2928">
        <v>2.75</v>
      </c>
      <c r="H2928">
        <v>3.45</v>
      </c>
      <c r="I2928">
        <v>3.4</v>
      </c>
      <c r="J2928">
        <v>0.01</v>
      </c>
      <c r="K2928">
        <v>0.01</v>
      </c>
    </row>
    <row r="2929" spans="1:11" x14ac:dyDescent="0.35">
      <c r="A2929" s="204">
        <v>44874</v>
      </c>
      <c r="B2929" s="544">
        <v>5.95</v>
      </c>
      <c r="C2929">
        <v>6.09</v>
      </c>
      <c r="D2929">
        <v>6.04</v>
      </c>
      <c r="E2929">
        <v>6.49</v>
      </c>
      <c r="F2929">
        <v>3.03</v>
      </c>
      <c r="G2929">
        <v>2.95</v>
      </c>
      <c r="H2929">
        <v>3.45</v>
      </c>
      <c r="I2929">
        <v>3.4</v>
      </c>
      <c r="J2929">
        <v>0.01</v>
      </c>
      <c r="K2929">
        <v>0.01</v>
      </c>
    </row>
    <row r="2930" spans="1:11" x14ac:dyDescent="0.35">
      <c r="A2930" s="204">
        <v>44881</v>
      </c>
      <c r="B2930" s="544">
        <v>5.95</v>
      </c>
      <c r="C2930">
        <v>6.09</v>
      </c>
      <c r="D2930">
        <v>6.04</v>
      </c>
      <c r="E2930">
        <v>6.49</v>
      </c>
      <c r="F2930">
        <v>3</v>
      </c>
      <c r="G2930">
        <v>3.75</v>
      </c>
      <c r="H2930">
        <v>3.45</v>
      </c>
      <c r="I2930">
        <v>3.4</v>
      </c>
      <c r="J2930">
        <v>0.01</v>
      </c>
      <c r="K2930">
        <v>0.01</v>
      </c>
    </row>
    <row r="2931" spans="1:11" x14ac:dyDescent="0.35">
      <c r="A2931" s="204">
        <v>44888</v>
      </c>
      <c r="B2931" s="544">
        <v>5.95</v>
      </c>
      <c r="C2931">
        <v>6.09</v>
      </c>
      <c r="D2931">
        <v>6.04</v>
      </c>
      <c r="E2931">
        <v>6.49</v>
      </c>
      <c r="F2931">
        <v>3</v>
      </c>
      <c r="G2931">
        <v>3.75</v>
      </c>
      <c r="H2931">
        <v>3.45</v>
      </c>
      <c r="I2931">
        <v>3.4</v>
      </c>
      <c r="J2931">
        <v>0.01</v>
      </c>
      <c r="K2931">
        <v>0.01</v>
      </c>
    </row>
    <row r="2932" spans="1:11" x14ac:dyDescent="0.35">
      <c r="A2932" s="204">
        <v>44895</v>
      </c>
      <c r="B2932" s="544">
        <v>5.95</v>
      </c>
      <c r="C2932">
        <v>6.09</v>
      </c>
      <c r="D2932">
        <v>6.14</v>
      </c>
      <c r="E2932">
        <v>6.49</v>
      </c>
      <c r="F2932">
        <v>3</v>
      </c>
      <c r="G2932">
        <v>3.75</v>
      </c>
      <c r="H2932">
        <v>3.45</v>
      </c>
      <c r="I2932">
        <v>3.4</v>
      </c>
      <c r="J2932">
        <v>0.01</v>
      </c>
      <c r="K2932">
        <v>0.01</v>
      </c>
    </row>
    <row r="2933" spans="1:11" x14ac:dyDescent="0.35">
      <c r="A2933" s="204">
        <v>44902</v>
      </c>
      <c r="B2933" s="544">
        <v>5.95</v>
      </c>
      <c r="C2933">
        <v>6.09</v>
      </c>
      <c r="D2933">
        <v>6.05</v>
      </c>
      <c r="E2933">
        <v>6.49</v>
      </c>
      <c r="F2933">
        <v>3</v>
      </c>
      <c r="G2933">
        <v>3.75</v>
      </c>
      <c r="H2933">
        <v>3.45</v>
      </c>
      <c r="I2933">
        <v>3.4</v>
      </c>
      <c r="J2933">
        <v>0.01</v>
      </c>
      <c r="K2933">
        <v>0.01</v>
      </c>
    </row>
    <row r="2934" spans="1:11" x14ac:dyDescent="0.35">
      <c r="A2934" s="204">
        <v>44909</v>
      </c>
      <c r="B2934" s="544">
        <v>6.45</v>
      </c>
      <c r="C2934">
        <v>6.34</v>
      </c>
      <c r="D2934">
        <v>6.14</v>
      </c>
      <c r="E2934">
        <v>6.49</v>
      </c>
      <c r="F2934">
        <v>3</v>
      </c>
      <c r="G2934">
        <v>3.75</v>
      </c>
      <c r="H2934">
        <v>3.45</v>
      </c>
      <c r="I2934">
        <v>3.4</v>
      </c>
      <c r="J2934">
        <v>0.01</v>
      </c>
      <c r="K2934">
        <v>0.01</v>
      </c>
    </row>
    <row r="2935" spans="1:11" x14ac:dyDescent="0.35">
      <c r="A2935" s="204">
        <v>44916</v>
      </c>
      <c r="B2935" s="544">
        <v>6.45</v>
      </c>
      <c r="C2935">
        <v>6.34</v>
      </c>
      <c r="D2935">
        <v>6.14</v>
      </c>
      <c r="E2935">
        <v>6.49</v>
      </c>
      <c r="F2935">
        <v>3</v>
      </c>
      <c r="G2935">
        <v>3.75</v>
      </c>
      <c r="H2935">
        <v>3.45</v>
      </c>
      <c r="I2935">
        <v>3.4</v>
      </c>
      <c r="J2935">
        <v>0.01</v>
      </c>
      <c r="K2935">
        <v>0.01</v>
      </c>
    </row>
    <row r="2936" spans="1:11" x14ac:dyDescent="0.35">
      <c r="A2936" s="204">
        <v>44923</v>
      </c>
      <c r="B2936" s="544">
        <v>6.45</v>
      </c>
      <c r="C2936">
        <v>6.34</v>
      </c>
      <c r="D2936">
        <v>6.14</v>
      </c>
      <c r="E2936">
        <v>6.49</v>
      </c>
      <c r="F2936">
        <v>3</v>
      </c>
      <c r="G2936">
        <v>3.75</v>
      </c>
      <c r="H2936">
        <v>3.45</v>
      </c>
      <c r="I2936">
        <v>3.4</v>
      </c>
      <c r="J2936">
        <v>0.01</v>
      </c>
      <c r="K2936">
        <v>0.01</v>
      </c>
    </row>
    <row r="2937" spans="1:11" x14ac:dyDescent="0.35">
      <c r="A2937" s="204">
        <v>44930</v>
      </c>
      <c r="B2937" s="544">
        <v>6.45</v>
      </c>
      <c r="C2937">
        <v>6.34</v>
      </c>
      <c r="D2937">
        <v>6.14</v>
      </c>
      <c r="E2937">
        <v>6.49</v>
      </c>
      <c r="F2937">
        <v>3</v>
      </c>
      <c r="G2937">
        <v>3.75</v>
      </c>
      <c r="H2937">
        <v>3.45</v>
      </c>
      <c r="I2937">
        <v>3.4</v>
      </c>
      <c r="J2937">
        <v>0.01</v>
      </c>
      <c r="K2937">
        <v>0.01</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C694-EEBD-4298-BEBC-7EE84FFE7F5F}">
  <sheetPr codeName="Sheet9">
    <pageSetUpPr fitToPage="1"/>
  </sheetPr>
  <dimension ref="A1:O90"/>
  <sheetViews>
    <sheetView zoomScale="85" zoomScaleNormal="85" zoomScaleSheetLayoutView="85" workbookViewId="0">
      <selection activeCell="B37" sqref="B37"/>
    </sheetView>
  </sheetViews>
  <sheetFormatPr defaultRowHeight="14.5" outlineLevelRow="1" outlineLevelCol="1" x14ac:dyDescent="0.35"/>
  <cols>
    <col min="1" max="1" width="20.7265625" customWidth="1"/>
    <col min="2" max="2" width="10.26953125" customWidth="1"/>
    <col min="3" max="3" width="9.1796875" customWidth="1"/>
    <col min="4" max="4" width="11.7265625" customWidth="1"/>
    <col min="5" max="5" width="10.7265625" customWidth="1"/>
    <col min="6" max="8" width="11.7265625" customWidth="1"/>
    <col min="9" max="9" width="9.1796875" customWidth="1" outlineLevel="1"/>
    <col min="10" max="10" width="11.7265625" customWidth="1" outlineLevel="1"/>
    <col min="11" max="11" width="10.7265625" customWidth="1" outlineLevel="1"/>
    <col min="12" max="15" width="11.7265625" customWidth="1" outlineLevel="1"/>
  </cols>
  <sheetData>
    <row r="1" spans="1:15" x14ac:dyDescent="0.35">
      <c r="A1" s="4" t="s">
        <v>334</v>
      </c>
    </row>
    <row r="2" spans="1:15" x14ac:dyDescent="0.35">
      <c r="A2" s="4" t="s">
        <v>333</v>
      </c>
    </row>
    <row r="3" spans="1:15" x14ac:dyDescent="0.35">
      <c r="A3" s="4" t="s">
        <v>332</v>
      </c>
    </row>
    <row r="5" spans="1:15" outlineLevel="1" x14ac:dyDescent="0.35">
      <c r="A5" s="170" t="s">
        <v>331</v>
      </c>
      <c r="K5" s="83"/>
    </row>
    <row r="6" spans="1:15" outlineLevel="1" x14ac:dyDescent="0.35">
      <c r="A6" s="10" t="s">
        <v>330</v>
      </c>
      <c r="K6" s="83"/>
    </row>
    <row r="7" spans="1:15" outlineLevel="1" x14ac:dyDescent="0.35">
      <c r="A7" s="10" t="s">
        <v>329</v>
      </c>
      <c r="K7" s="83"/>
    </row>
    <row r="8" spans="1:15" outlineLevel="1" x14ac:dyDescent="0.35">
      <c r="A8" s="10" t="s">
        <v>328</v>
      </c>
    </row>
    <row r="9" spans="1:15" outlineLevel="1" x14ac:dyDescent="0.35">
      <c r="A9" s="10" t="s">
        <v>327</v>
      </c>
    </row>
    <row r="10" spans="1:15" outlineLevel="1" x14ac:dyDescent="0.35">
      <c r="A10" s="10" t="s">
        <v>326</v>
      </c>
    </row>
    <row r="11" spans="1:15" outlineLevel="1" x14ac:dyDescent="0.35">
      <c r="A11" s="10"/>
    </row>
    <row r="12" spans="1:15" x14ac:dyDescent="0.35">
      <c r="A12" s="169" t="s">
        <v>325</v>
      </c>
      <c r="B12" s="149"/>
      <c r="C12" s="149"/>
      <c r="D12" s="149"/>
    </row>
    <row r="13" spans="1:15" x14ac:dyDescent="0.35">
      <c r="A13" s="169" t="s">
        <v>17</v>
      </c>
      <c r="B13" s="149"/>
      <c r="C13" s="149"/>
      <c r="D13" s="149"/>
      <c r="E13" s="149"/>
      <c r="F13" s="149"/>
      <c r="G13" s="149"/>
      <c r="H13" s="149"/>
    </row>
    <row r="15" spans="1:15" x14ac:dyDescent="0.35">
      <c r="A15" s="612" t="s">
        <v>324</v>
      </c>
      <c r="B15" s="612"/>
      <c r="C15" s="612"/>
      <c r="D15" s="612"/>
      <c r="E15" s="612"/>
      <c r="F15" s="612"/>
      <c r="G15" s="612"/>
      <c r="H15" s="612"/>
      <c r="I15" s="612"/>
      <c r="J15" s="612"/>
      <c r="K15" s="612"/>
      <c r="L15" s="612"/>
      <c r="M15" s="612"/>
      <c r="N15" s="612"/>
      <c r="O15" s="612"/>
    </row>
    <row r="16" spans="1:15" outlineLevel="1" x14ac:dyDescent="0.35">
      <c r="A16" s="4"/>
      <c r="B16" s="616" t="s">
        <v>0</v>
      </c>
      <c r="C16" s="616"/>
      <c r="D16" s="616"/>
      <c r="E16" s="616"/>
      <c r="F16" s="616"/>
      <c r="G16" s="616"/>
      <c r="H16" s="616"/>
      <c r="I16" s="616" t="s">
        <v>301</v>
      </c>
      <c r="J16" s="616"/>
      <c r="K16" s="616"/>
      <c r="L16" s="616"/>
      <c r="M16" s="616"/>
      <c r="N16" s="613"/>
      <c r="O16" s="147" t="s">
        <v>300</v>
      </c>
    </row>
    <row r="17" spans="1:15" outlineLevel="1" x14ac:dyDescent="0.35">
      <c r="A17" t="s">
        <v>323</v>
      </c>
      <c r="B17" s="137" t="s">
        <v>289</v>
      </c>
      <c r="C17" s="137" t="s">
        <v>1</v>
      </c>
      <c r="D17" s="137" t="s">
        <v>299</v>
      </c>
      <c r="E17" s="137" t="s">
        <v>298</v>
      </c>
      <c r="F17" s="137" t="s">
        <v>297</v>
      </c>
      <c r="G17" s="137" t="s">
        <v>296</v>
      </c>
      <c r="H17" s="137" t="s">
        <v>295</v>
      </c>
      <c r="I17" s="137" t="s">
        <v>289</v>
      </c>
      <c r="J17" s="137" t="s">
        <v>299</v>
      </c>
      <c r="K17" s="137" t="s">
        <v>298</v>
      </c>
      <c r="L17" s="137" t="s">
        <v>297</v>
      </c>
      <c r="M17" s="137" t="s">
        <v>296</v>
      </c>
      <c r="N17" s="117" t="s">
        <v>295</v>
      </c>
      <c r="O17" s="146"/>
    </row>
    <row r="18" spans="1:15" outlineLevel="1" x14ac:dyDescent="0.35">
      <c r="A18" t="s">
        <v>322</v>
      </c>
      <c r="B18" s="167"/>
      <c r="C18" s="168">
        <f>+Rates!C7</f>
        <v>28095</v>
      </c>
      <c r="D18" s="166">
        <f>+B18*C18</f>
        <v>0</v>
      </c>
      <c r="E18" s="166">
        <f>+B18*Rates!E7</f>
        <v>0</v>
      </c>
      <c r="F18" s="166">
        <f>+B18*Rates!F7</f>
        <v>0</v>
      </c>
      <c r="G18" s="166">
        <f>+B18*Rates!G7</f>
        <v>0</v>
      </c>
      <c r="H18" s="166">
        <f>SUM(D18:G18)</f>
        <v>0</v>
      </c>
      <c r="I18" s="167"/>
      <c r="J18" s="166">
        <f>+I18*C18</f>
        <v>0</v>
      </c>
      <c r="K18" s="166">
        <f>+I18*Rates!E7</f>
        <v>0</v>
      </c>
      <c r="L18" s="166">
        <f>+I18*Rates!F7</f>
        <v>0</v>
      </c>
      <c r="M18" s="166">
        <f>+I18*Rates!G7</f>
        <v>0</v>
      </c>
      <c r="N18" s="166">
        <f>SUM(J18:M18)</f>
        <v>0</v>
      </c>
      <c r="O18" s="160">
        <f>+H18-N18</f>
        <v>0</v>
      </c>
    </row>
    <row r="19" spans="1:15" outlineLevel="1" x14ac:dyDescent="0.35">
      <c r="A19" t="s">
        <v>321</v>
      </c>
      <c r="B19" s="167"/>
      <c r="C19" s="168">
        <f>+Rates!C8</f>
        <v>20138</v>
      </c>
      <c r="D19" s="166">
        <f>+B19*C19</f>
        <v>0</v>
      </c>
      <c r="E19" s="166">
        <f>+B19*Rates!E8</f>
        <v>0</v>
      </c>
      <c r="F19" s="166">
        <f>+B19*Rates!F8</f>
        <v>0</v>
      </c>
      <c r="G19" s="166">
        <f>+B19*Rates!G8</f>
        <v>0</v>
      </c>
      <c r="H19" s="166">
        <f>SUM(D19:G19)</f>
        <v>0</v>
      </c>
      <c r="I19" s="167"/>
      <c r="J19" s="166">
        <f>+I19*C19</f>
        <v>0</v>
      </c>
      <c r="K19" s="166">
        <f>+I19*Rates!E8</f>
        <v>0</v>
      </c>
      <c r="L19" s="166">
        <f>+I19*Rates!F8</f>
        <v>0</v>
      </c>
      <c r="M19" s="166">
        <f>+I19*Rates!G8</f>
        <v>0</v>
      </c>
      <c r="N19" s="166">
        <f>SUM(J19:M19)</f>
        <v>0</v>
      </c>
      <c r="O19" s="160">
        <f>+H19-N19</f>
        <v>0</v>
      </c>
    </row>
    <row r="20" spans="1:15" outlineLevel="1" x14ac:dyDescent="0.35">
      <c r="A20" t="s">
        <v>320</v>
      </c>
      <c r="B20" s="167"/>
      <c r="C20" s="168">
        <f>+Rates!C9</f>
        <v>17346</v>
      </c>
      <c r="D20" s="166">
        <f>+B20*C20</f>
        <v>0</v>
      </c>
      <c r="E20" s="166">
        <f>+B20*Rates!E9</f>
        <v>0</v>
      </c>
      <c r="F20" s="166">
        <f>+B20*Rates!F9</f>
        <v>0</v>
      </c>
      <c r="G20" s="166">
        <f>+B20*Rates!G9</f>
        <v>0</v>
      </c>
      <c r="H20" s="166">
        <f>SUM(D20:G20)</f>
        <v>0</v>
      </c>
      <c r="I20" s="167"/>
      <c r="J20" s="166">
        <f>+I20*C20</f>
        <v>0</v>
      </c>
      <c r="K20" s="166">
        <f>+I20*Rates!E9</f>
        <v>0</v>
      </c>
      <c r="L20" s="166">
        <f>+I20*Rates!F9</f>
        <v>0</v>
      </c>
      <c r="M20" s="166">
        <f>+I20*Rates!G9</f>
        <v>0</v>
      </c>
      <c r="N20" s="166">
        <f>SUM(J20:M20)</f>
        <v>0</v>
      </c>
      <c r="O20" s="160">
        <f>+H20-N20</f>
        <v>0</v>
      </c>
    </row>
    <row r="21" spans="1:15" outlineLevel="1" x14ac:dyDescent="0.35">
      <c r="A21" t="s">
        <v>319</v>
      </c>
      <c r="B21" s="167"/>
      <c r="C21" s="168">
        <f>+Rates!C10</f>
        <v>11576</v>
      </c>
      <c r="D21" s="166">
        <f>+B21*C21</f>
        <v>0</v>
      </c>
      <c r="E21" s="166">
        <f>+B21*Rates!E10</f>
        <v>0</v>
      </c>
      <c r="F21" s="166">
        <f>+B21*Rates!F10</f>
        <v>0</v>
      </c>
      <c r="G21" s="166">
        <f>+B21*Rates!G10</f>
        <v>0</v>
      </c>
      <c r="H21" s="166">
        <f>SUM(D21:G21)</f>
        <v>0</v>
      </c>
      <c r="I21" s="167"/>
      <c r="J21" s="166">
        <f>+I21*C21</f>
        <v>0</v>
      </c>
      <c r="K21" s="166">
        <f>+I21*Rates!E10</f>
        <v>0</v>
      </c>
      <c r="L21" s="166">
        <f>+I21*Rates!F10</f>
        <v>0</v>
      </c>
      <c r="M21" s="166">
        <f>+I21*Rates!G10</f>
        <v>0</v>
      </c>
      <c r="N21" s="166">
        <f>SUM(J21:M21)</f>
        <v>0</v>
      </c>
      <c r="O21" s="160">
        <f>+H21-N21</f>
        <v>0</v>
      </c>
    </row>
    <row r="22" spans="1:15" outlineLevel="1" x14ac:dyDescent="0.35">
      <c r="A22" t="s">
        <v>318</v>
      </c>
      <c r="B22" s="167"/>
      <c r="C22" s="168">
        <f>+Rates!C11</f>
        <v>8809</v>
      </c>
      <c r="D22" s="166">
        <f>+B22*C22</f>
        <v>0</v>
      </c>
      <c r="E22" s="166">
        <f>+B22*Rates!E11</f>
        <v>0</v>
      </c>
      <c r="F22" s="166">
        <f>+B22*Rates!F11</f>
        <v>0</v>
      </c>
      <c r="G22" s="166">
        <f>+B22*Rates!G11</f>
        <v>0</v>
      </c>
      <c r="H22" s="166">
        <f>SUM(D22:G22)</f>
        <v>0</v>
      </c>
      <c r="I22" s="167"/>
      <c r="J22" s="166">
        <f>+I22*C22</f>
        <v>0</v>
      </c>
      <c r="K22" s="166">
        <f>+I22*Rates!E11</f>
        <v>0</v>
      </c>
      <c r="L22" s="166">
        <f>+I22*Rates!F11</f>
        <v>0</v>
      </c>
      <c r="M22" s="166">
        <f>+I22*Rates!G11</f>
        <v>0</v>
      </c>
      <c r="N22" s="166">
        <f>SUM(J22:M22)</f>
        <v>0</v>
      </c>
      <c r="O22" s="160">
        <f>+H22-N22</f>
        <v>0</v>
      </c>
    </row>
    <row r="23" spans="1:15" outlineLevel="1" x14ac:dyDescent="0.35">
      <c r="B23" s="165">
        <f>SUM(B18:B21)</f>
        <v>0</v>
      </c>
      <c r="C23" s="164"/>
      <c r="D23" s="164">
        <f t="shared" ref="D23:O23" si="0">SUM(D18:D21)</f>
        <v>0</v>
      </c>
      <c r="E23" s="164">
        <f t="shared" si="0"/>
        <v>0</v>
      </c>
      <c r="F23" s="164">
        <f t="shared" si="0"/>
        <v>0</v>
      </c>
      <c r="G23" s="164">
        <f t="shared" si="0"/>
        <v>0</v>
      </c>
      <c r="H23" s="164">
        <f t="shared" si="0"/>
        <v>0</v>
      </c>
      <c r="I23" s="165">
        <f t="shared" si="0"/>
        <v>0</v>
      </c>
      <c r="J23" s="164">
        <f t="shared" si="0"/>
        <v>0</v>
      </c>
      <c r="K23" s="164">
        <f t="shared" si="0"/>
        <v>0</v>
      </c>
      <c r="L23" s="164">
        <f t="shared" si="0"/>
        <v>0</v>
      </c>
      <c r="M23" s="164">
        <f t="shared" si="0"/>
        <v>0</v>
      </c>
      <c r="N23" s="163">
        <f t="shared" si="0"/>
        <v>0</v>
      </c>
      <c r="O23" s="162">
        <f t="shared" si="0"/>
        <v>0</v>
      </c>
    </row>
    <row r="24" spans="1:15" outlineLevel="1" x14ac:dyDescent="0.35">
      <c r="A24" t="s">
        <v>317</v>
      </c>
    </row>
    <row r="25" spans="1:15" outlineLevel="1" x14ac:dyDescent="0.35">
      <c r="A25" s="149"/>
      <c r="B25" s="149"/>
      <c r="C25" s="149"/>
      <c r="D25" s="149"/>
      <c r="E25" s="149"/>
      <c r="F25" s="149"/>
      <c r="G25" s="149"/>
      <c r="H25" s="149"/>
      <c r="I25" s="149"/>
      <c r="J25" s="149"/>
      <c r="K25" s="149"/>
      <c r="L25" s="149"/>
      <c r="M25" s="149"/>
      <c r="N25" s="149"/>
      <c r="O25" s="149"/>
    </row>
    <row r="26" spans="1:15" outlineLevel="1" x14ac:dyDescent="0.35">
      <c r="A26" s="148"/>
      <c r="B26" s="148"/>
      <c r="C26" s="148"/>
      <c r="D26" s="148"/>
      <c r="E26" s="148"/>
      <c r="F26" s="148"/>
      <c r="G26" s="148"/>
      <c r="H26" s="148"/>
      <c r="I26" s="148"/>
      <c r="J26" s="148"/>
      <c r="K26" s="148"/>
      <c r="L26" s="148"/>
      <c r="M26" s="148"/>
      <c r="N26" s="148"/>
      <c r="O26" s="148"/>
    </row>
    <row r="27" spans="1:15" outlineLevel="1" x14ac:dyDescent="0.35"/>
    <row r="28" spans="1:15" x14ac:dyDescent="0.35">
      <c r="A28" s="612" t="s">
        <v>316</v>
      </c>
      <c r="B28" s="612"/>
      <c r="C28" s="612"/>
      <c r="D28" s="612"/>
      <c r="E28" s="612"/>
      <c r="F28" s="612"/>
      <c r="G28" s="612"/>
      <c r="H28" s="612"/>
      <c r="I28" s="612"/>
      <c r="J28" s="612"/>
      <c r="K28" s="612"/>
      <c r="L28" s="612"/>
      <c r="M28" s="612"/>
      <c r="N28" s="612"/>
      <c r="O28" s="612"/>
    </row>
    <row r="29" spans="1:15" outlineLevel="1" x14ac:dyDescent="0.35">
      <c r="A29" s="4"/>
      <c r="B29" s="613" t="s">
        <v>0</v>
      </c>
      <c r="C29" s="614"/>
      <c r="D29" s="614"/>
      <c r="E29" s="614"/>
      <c r="F29" s="614"/>
      <c r="G29" s="614"/>
      <c r="H29" s="615"/>
      <c r="I29" s="616" t="s">
        <v>301</v>
      </c>
      <c r="J29" s="616"/>
      <c r="K29" s="616"/>
      <c r="L29" s="616"/>
      <c r="M29" s="616"/>
      <c r="N29" s="613"/>
      <c r="O29" s="147" t="s">
        <v>300</v>
      </c>
    </row>
    <row r="30" spans="1:15" outlineLevel="1" x14ac:dyDescent="0.35">
      <c r="A30" t="s">
        <v>306</v>
      </c>
      <c r="B30" s="137" t="s">
        <v>289</v>
      </c>
      <c r="C30" s="118" t="s">
        <v>1</v>
      </c>
      <c r="D30" s="137" t="s">
        <v>299</v>
      </c>
      <c r="E30" s="138" t="s">
        <v>298</v>
      </c>
      <c r="F30" s="137" t="s">
        <v>297</v>
      </c>
      <c r="G30" s="137" t="s">
        <v>296</v>
      </c>
      <c r="H30" s="117" t="s">
        <v>295</v>
      </c>
      <c r="I30" s="137" t="s">
        <v>289</v>
      </c>
      <c r="J30" s="118" t="s">
        <v>299</v>
      </c>
      <c r="K30" s="138" t="s">
        <v>298</v>
      </c>
      <c r="L30" s="137" t="s">
        <v>297</v>
      </c>
      <c r="M30" s="137" t="s">
        <v>296</v>
      </c>
      <c r="N30" s="117" t="s">
        <v>295</v>
      </c>
      <c r="O30" s="146"/>
    </row>
    <row r="31" spans="1:15" outlineLevel="1" x14ac:dyDescent="0.35">
      <c r="A31" t="s">
        <v>309</v>
      </c>
      <c r="B31" s="135"/>
      <c r="C31" s="133">
        <f>+Rates!C15</f>
        <v>8.08</v>
      </c>
      <c r="D31" s="133">
        <f>+B31*C31</f>
        <v>0</v>
      </c>
      <c r="E31" s="161"/>
      <c r="F31" s="133">
        <f>+B31*Rates!F15</f>
        <v>0</v>
      </c>
      <c r="G31" s="133">
        <f>+B31*Rates!G15</f>
        <v>0</v>
      </c>
      <c r="H31" s="133">
        <f>SUM(D31:G31)</f>
        <v>0</v>
      </c>
      <c r="I31" s="135"/>
      <c r="J31" s="133">
        <f>+I31*C31</f>
        <v>0</v>
      </c>
      <c r="K31" s="161"/>
      <c r="L31" s="133">
        <f>+I31*Rates!F15</f>
        <v>0</v>
      </c>
      <c r="M31" s="133">
        <f>+I31*Rates!G15</f>
        <v>0</v>
      </c>
      <c r="N31" s="133">
        <f>SUM(J31:M31)</f>
        <v>0</v>
      </c>
      <c r="O31" s="160">
        <f>+H31-N31</f>
        <v>0</v>
      </c>
    </row>
    <row r="32" spans="1:15" outlineLevel="1" x14ac:dyDescent="0.35">
      <c r="A32" t="s">
        <v>315</v>
      </c>
      <c r="B32" s="135"/>
      <c r="C32" s="133">
        <f>+Rates!C16</f>
        <v>12.12</v>
      </c>
      <c r="D32" s="133">
        <f>+B32*C32</f>
        <v>0</v>
      </c>
      <c r="E32" s="161"/>
      <c r="F32" s="133">
        <f>+B32*Rates!F16</f>
        <v>0</v>
      </c>
      <c r="G32" s="133">
        <f>+B32*Rates!G16</f>
        <v>0</v>
      </c>
      <c r="H32" s="133">
        <f>SUM(D32:G32)</f>
        <v>0</v>
      </c>
      <c r="I32" s="135"/>
      <c r="J32" s="133">
        <f>+I32*C32</f>
        <v>0</v>
      </c>
      <c r="K32" s="161"/>
      <c r="L32" s="133">
        <f>+I32*Rates!F16</f>
        <v>0</v>
      </c>
      <c r="M32" s="133">
        <f>+I32*Rates!G16</f>
        <v>0</v>
      </c>
      <c r="N32" s="133">
        <f>SUM(J32:M32)</f>
        <v>0</v>
      </c>
      <c r="O32" s="160">
        <f>+H32-N32</f>
        <v>0</v>
      </c>
    </row>
    <row r="33" spans="1:15" outlineLevel="1" x14ac:dyDescent="0.35">
      <c r="A33" t="s">
        <v>314</v>
      </c>
      <c r="B33" s="135"/>
      <c r="C33" s="133">
        <f>+Rates!C17</f>
        <v>16.16</v>
      </c>
      <c r="D33" s="133">
        <f>+B33*C33</f>
        <v>0</v>
      </c>
      <c r="E33" s="161"/>
      <c r="F33" s="133">
        <f>+B33*Rates!F17</f>
        <v>0</v>
      </c>
      <c r="G33" s="133">
        <f>+B33*Rates!G17</f>
        <v>0</v>
      </c>
      <c r="H33" s="133">
        <f>SUM(D33:G33)</f>
        <v>0</v>
      </c>
      <c r="I33" s="135"/>
      <c r="J33" s="133">
        <f>+I33*C33</f>
        <v>0</v>
      </c>
      <c r="K33" s="161"/>
      <c r="L33" s="133">
        <f>+I33*Rates!F17</f>
        <v>0</v>
      </c>
      <c r="M33" s="133">
        <f>+I33*Rates!G17</f>
        <v>0</v>
      </c>
      <c r="N33" s="133">
        <f>SUM(J33:M33)</f>
        <v>0</v>
      </c>
      <c r="O33" s="160">
        <f>+H33-N33</f>
        <v>0</v>
      </c>
    </row>
    <row r="34" spans="1:15" outlineLevel="1" x14ac:dyDescent="0.35">
      <c r="B34" s="132">
        <f>SUM(B31:B33)</f>
        <v>0</v>
      </c>
      <c r="C34" s="130"/>
      <c r="D34" s="130">
        <f>SUM(D31:D33)</f>
        <v>0</v>
      </c>
      <c r="E34" s="131"/>
      <c r="F34" s="130">
        <f>SUM(F31:F33)</f>
        <v>0</v>
      </c>
      <c r="G34" s="130">
        <f>SUM(G31:G33)</f>
        <v>0</v>
      </c>
      <c r="H34" s="130">
        <f>SUM(H31:H33)</f>
        <v>0</v>
      </c>
      <c r="I34" s="159">
        <f>SUM(I31:I33)</f>
        <v>0</v>
      </c>
      <c r="J34" s="130">
        <f>SUM(J31:J33)</f>
        <v>0</v>
      </c>
      <c r="K34" s="131"/>
      <c r="L34" s="130">
        <f>SUM(L31:L33)</f>
        <v>0</v>
      </c>
      <c r="M34" s="130">
        <f>SUM(M31:M33)</f>
        <v>0</v>
      </c>
      <c r="N34" s="129">
        <f>SUM(N31:N33)</f>
        <v>0</v>
      </c>
      <c r="O34" s="158">
        <f>SUM(O31:O33)</f>
        <v>0</v>
      </c>
    </row>
    <row r="35" spans="1:15" outlineLevel="1" x14ac:dyDescent="0.35">
      <c r="A35" t="s">
        <v>303</v>
      </c>
    </row>
    <row r="36" spans="1:15" outlineLevel="1" x14ac:dyDescent="0.35">
      <c r="A36" s="149"/>
      <c r="B36" s="149"/>
      <c r="C36" s="149"/>
      <c r="D36" s="149"/>
      <c r="E36" s="149"/>
      <c r="F36" s="149"/>
      <c r="G36" s="149"/>
      <c r="H36" s="149"/>
      <c r="I36" s="149"/>
      <c r="J36" s="149"/>
      <c r="K36" s="149"/>
      <c r="L36" s="149"/>
      <c r="M36" s="149"/>
      <c r="N36" s="149"/>
      <c r="O36" s="149"/>
    </row>
    <row r="37" spans="1:15" outlineLevel="1" x14ac:dyDescent="0.35">
      <c r="A37" s="148"/>
      <c r="B37" s="148"/>
      <c r="C37" s="148"/>
      <c r="D37" s="148"/>
      <c r="E37" s="148"/>
      <c r="F37" s="148"/>
      <c r="G37" s="148"/>
      <c r="H37" s="148"/>
      <c r="I37" s="148"/>
      <c r="J37" s="148"/>
      <c r="K37" s="148"/>
      <c r="L37" s="148"/>
      <c r="M37" s="148"/>
      <c r="N37" s="148"/>
      <c r="O37" s="148"/>
    </row>
    <row r="38" spans="1:15" outlineLevel="1" x14ac:dyDescent="0.35"/>
    <row r="39" spans="1:15" x14ac:dyDescent="0.35">
      <c r="A39" s="612" t="s">
        <v>313</v>
      </c>
      <c r="B39" s="612"/>
      <c r="C39" s="612"/>
      <c r="D39" s="612"/>
      <c r="E39" s="612"/>
      <c r="F39" s="612"/>
      <c r="G39" s="612"/>
      <c r="H39" s="612"/>
      <c r="I39" s="612"/>
      <c r="J39" s="612"/>
      <c r="K39" s="612"/>
      <c r="L39" s="612"/>
      <c r="M39" s="612"/>
      <c r="N39" s="612"/>
      <c r="O39" s="612"/>
    </row>
    <row r="40" spans="1:15" outlineLevel="1" x14ac:dyDescent="0.35">
      <c r="A40" s="4"/>
      <c r="B40" s="613" t="s">
        <v>0</v>
      </c>
      <c r="C40" s="614"/>
      <c r="D40" s="614"/>
      <c r="E40" s="614"/>
      <c r="F40" s="614"/>
      <c r="G40" s="614"/>
      <c r="H40" s="615"/>
      <c r="I40" s="616" t="s">
        <v>301</v>
      </c>
      <c r="J40" s="616"/>
      <c r="K40" s="616"/>
      <c r="L40" s="616"/>
      <c r="M40" s="616"/>
      <c r="N40" s="613"/>
      <c r="O40" s="147" t="s">
        <v>300</v>
      </c>
    </row>
    <row r="41" spans="1:15" outlineLevel="1" x14ac:dyDescent="0.35">
      <c r="A41" t="s">
        <v>306</v>
      </c>
      <c r="B41" s="137" t="s">
        <v>289</v>
      </c>
      <c r="C41" s="118" t="s">
        <v>1</v>
      </c>
      <c r="D41" s="137" t="s">
        <v>299</v>
      </c>
      <c r="E41" s="138" t="s">
        <v>298</v>
      </c>
      <c r="F41" s="137" t="s">
        <v>297</v>
      </c>
      <c r="G41" s="137" t="s">
        <v>296</v>
      </c>
      <c r="H41" s="117" t="s">
        <v>295</v>
      </c>
      <c r="I41" s="137" t="s">
        <v>289</v>
      </c>
      <c r="J41" s="118" t="s">
        <v>299</v>
      </c>
      <c r="K41" s="138" t="s">
        <v>298</v>
      </c>
      <c r="L41" s="137" t="s">
        <v>297</v>
      </c>
      <c r="M41" s="137" t="s">
        <v>296</v>
      </c>
      <c r="N41" s="117" t="s">
        <v>295</v>
      </c>
      <c r="O41" s="146"/>
    </row>
    <row r="42" spans="1:15" outlineLevel="1" x14ac:dyDescent="0.35">
      <c r="A42" t="s">
        <v>312</v>
      </c>
      <c r="B42" s="135"/>
      <c r="C42" s="133">
        <f>+Rates!C22</f>
        <v>7.07</v>
      </c>
      <c r="D42" s="133">
        <f>+B42*C42</f>
        <v>0</v>
      </c>
      <c r="E42" s="161"/>
      <c r="F42" s="133">
        <f>+B42*Rates!F22</f>
        <v>0</v>
      </c>
      <c r="G42" s="133">
        <f>+B42*Rates!G28</f>
        <v>0</v>
      </c>
      <c r="H42" s="133">
        <f>SUM(D42:G42)</f>
        <v>0</v>
      </c>
      <c r="I42" s="135"/>
      <c r="J42" s="133">
        <f>+I42*C42</f>
        <v>0</v>
      </c>
      <c r="K42" s="161"/>
      <c r="L42" s="133">
        <f>+I42*Rates!F28</f>
        <v>0</v>
      </c>
      <c r="M42" s="133">
        <f>+I42*Rates!G28</f>
        <v>0</v>
      </c>
      <c r="N42" s="133">
        <f>SUM(J42:M42)</f>
        <v>0</v>
      </c>
      <c r="O42" s="160">
        <f>+H42-N42</f>
        <v>0</v>
      </c>
    </row>
    <row r="43" spans="1:15" outlineLevel="1" x14ac:dyDescent="0.35">
      <c r="A43" t="s">
        <v>311</v>
      </c>
      <c r="B43" s="135"/>
      <c r="C43" s="133">
        <f>+Rates!C23</f>
        <v>8.98</v>
      </c>
      <c r="D43" s="133">
        <f>+B43*C43</f>
        <v>0</v>
      </c>
      <c r="E43" s="161"/>
      <c r="F43" s="133">
        <f>+B43*Rates!F23</f>
        <v>0</v>
      </c>
      <c r="G43" s="133">
        <f>+B43*Rates!G29</f>
        <v>0</v>
      </c>
      <c r="H43" s="133">
        <f>SUM(D43:G43)</f>
        <v>0</v>
      </c>
      <c r="I43" s="135"/>
      <c r="J43" s="133">
        <f>+I43*C43</f>
        <v>0</v>
      </c>
      <c r="K43" s="161"/>
      <c r="L43" s="133">
        <f>+I43*Rates!F29</f>
        <v>0</v>
      </c>
      <c r="M43" s="133">
        <f>+I43*Rates!G29</f>
        <v>0</v>
      </c>
      <c r="N43" s="133">
        <f>SUM(J43:M43)</f>
        <v>0</v>
      </c>
      <c r="O43" s="160">
        <f>+H43-N43</f>
        <v>0</v>
      </c>
    </row>
    <row r="44" spans="1:15" outlineLevel="1" x14ac:dyDescent="0.35">
      <c r="B44" s="132">
        <f>SUM(B42:B43)</f>
        <v>0</v>
      </c>
      <c r="C44" s="130"/>
      <c r="D44" s="130">
        <f>SUM(D42:D43)</f>
        <v>0</v>
      </c>
      <c r="E44" s="131"/>
      <c r="F44" s="130">
        <f>SUM(F42:F43)</f>
        <v>0</v>
      </c>
      <c r="G44" s="130">
        <f>SUM(G42:G43)</f>
        <v>0</v>
      </c>
      <c r="H44" s="130">
        <f>SUM(H42:H43)</f>
        <v>0</v>
      </c>
      <c r="I44" s="159">
        <f>SUM(I42:I43)</f>
        <v>0</v>
      </c>
      <c r="J44" s="130">
        <f>SUM(J42:J43)</f>
        <v>0</v>
      </c>
      <c r="K44" s="131"/>
      <c r="L44" s="130">
        <f>SUM(L42:L43)</f>
        <v>0</v>
      </c>
      <c r="M44" s="130">
        <f>SUM(M42:M43)</f>
        <v>0</v>
      </c>
      <c r="N44" s="129">
        <f>SUM(N42:N43)</f>
        <v>0</v>
      </c>
      <c r="O44" s="158">
        <f>SUM(O42:O43)</f>
        <v>0</v>
      </c>
    </row>
    <row r="45" spans="1:15" outlineLevel="1" x14ac:dyDescent="0.35">
      <c r="A45" t="s">
        <v>303</v>
      </c>
    </row>
    <row r="46" spans="1:15" outlineLevel="1" x14ac:dyDescent="0.35">
      <c r="A46" s="149"/>
      <c r="B46" s="149"/>
      <c r="C46" s="149"/>
      <c r="D46" s="149"/>
      <c r="E46" s="149"/>
      <c r="F46" s="149"/>
      <c r="G46" s="149"/>
      <c r="H46" s="149"/>
      <c r="I46" s="149"/>
      <c r="J46" s="149"/>
      <c r="K46" s="149"/>
      <c r="L46" s="149"/>
      <c r="M46" s="149"/>
      <c r="N46" s="149"/>
      <c r="O46" s="149"/>
    </row>
    <row r="47" spans="1:15" outlineLevel="1" x14ac:dyDescent="0.35">
      <c r="A47" s="148"/>
      <c r="B47" s="148"/>
      <c r="C47" s="148"/>
      <c r="D47" s="148"/>
      <c r="E47" s="148"/>
      <c r="F47" s="148"/>
      <c r="G47" s="148"/>
      <c r="H47" s="148"/>
      <c r="I47" s="148"/>
      <c r="J47" s="148"/>
      <c r="K47" s="148"/>
      <c r="L47" s="148"/>
      <c r="M47" s="148"/>
      <c r="N47" s="148"/>
      <c r="O47" s="148"/>
    </row>
    <row r="48" spans="1:15" outlineLevel="1" x14ac:dyDescent="0.35"/>
    <row r="49" spans="1:15" x14ac:dyDescent="0.35">
      <c r="A49" s="612" t="s">
        <v>310</v>
      </c>
      <c r="B49" s="612"/>
      <c r="C49" s="612"/>
      <c r="D49" s="612"/>
      <c r="E49" s="612"/>
      <c r="F49" s="612"/>
      <c r="G49" s="612"/>
      <c r="H49" s="612"/>
      <c r="I49" s="156"/>
      <c r="J49" s="156"/>
      <c r="K49" s="156"/>
      <c r="L49" s="156"/>
      <c r="M49" s="156"/>
      <c r="N49" s="156"/>
      <c r="O49" s="156"/>
    </row>
    <row r="50" spans="1:15" outlineLevel="1" x14ac:dyDescent="0.35">
      <c r="A50" s="4"/>
      <c r="B50" s="613" t="s">
        <v>0</v>
      </c>
      <c r="C50" s="614"/>
      <c r="D50" s="614"/>
      <c r="E50" s="614"/>
      <c r="F50" s="614"/>
      <c r="G50" s="614"/>
      <c r="H50" s="615"/>
      <c r="I50" s="620"/>
      <c r="J50" s="620"/>
      <c r="K50" s="620"/>
      <c r="L50" s="620"/>
      <c r="M50" s="620"/>
      <c r="N50" s="620"/>
      <c r="O50" s="155"/>
    </row>
    <row r="51" spans="1:15" outlineLevel="1" x14ac:dyDescent="0.35">
      <c r="A51" t="s">
        <v>306</v>
      </c>
      <c r="B51" s="137" t="s">
        <v>289</v>
      </c>
      <c r="C51" s="118" t="s">
        <v>1</v>
      </c>
      <c r="D51" s="137" t="s">
        <v>299</v>
      </c>
      <c r="E51" s="138" t="s">
        <v>298</v>
      </c>
      <c r="F51" s="137" t="s">
        <v>297</v>
      </c>
      <c r="G51" s="137" t="s">
        <v>296</v>
      </c>
      <c r="H51" s="137" t="s">
        <v>295</v>
      </c>
      <c r="I51" s="110"/>
      <c r="J51" s="110"/>
      <c r="K51" s="110"/>
      <c r="L51" s="110"/>
      <c r="M51" s="110"/>
      <c r="N51" s="110"/>
      <c r="O51" s="63"/>
    </row>
    <row r="52" spans="1:15" outlineLevel="1" x14ac:dyDescent="0.35">
      <c r="A52" t="s">
        <v>309</v>
      </c>
      <c r="B52" s="157"/>
      <c r="C52" s="133">
        <f>+Rates!C28</f>
        <v>0</v>
      </c>
      <c r="D52" s="133">
        <f>+B52*C52</f>
        <v>0</v>
      </c>
      <c r="E52" s="124"/>
      <c r="F52" s="133">
        <f>+B52*Rates!F28</f>
        <v>0</v>
      </c>
      <c r="G52" s="133">
        <f>+B52*Rates!G28</f>
        <v>0</v>
      </c>
      <c r="H52" s="126">
        <f>SUM(D52:G52)</f>
        <v>0</v>
      </c>
      <c r="I52" s="63"/>
      <c r="J52" s="151"/>
      <c r="K52" s="150"/>
      <c r="L52" s="151"/>
      <c r="M52" s="151"/>
      <c r="N52" s="151"/>
      <c r="O52" s="152"/>
    </row>
    <row r="53" spans="1:15" outlineLevel="1" x14ac:dyDescent="0.35">
      <c r="A53" t="s">
        <v>308</v>
      </c>
      <c r="B53" s="157"/>
      <c r="C53" s="133">
        <f>+Rates!C29</f>
        <v>16.16</v>
      </c>
      <c r="D53" s="133">
        <f>+B53*C53</f>
        <v>0</v>
      </c>
      <c r="E53" s="124"/>
      <c r="F53" s="133">
        <f>+B53*Rates!F29</f>
        <v>0</v>
      </c>
      <c r="G53" s="133">
        <f>+B53*Rates!G29</f>
        <v>0</v>
      </c>
      <c r="H53" s="126">
        <f>SUM(D53:G53)</f>
        <v>0</v>
      </c>
      <c r="I53" s="63"/>
      <c r="J53" s="151"/>
      <c r="K53" s="150"/>
      <c r="L53" s="151"/>
      <c r="M53" s="151"/>
      <c r="N53" s="151"/>
      <c r="O53" s="152"/>
    </row>
    <row r="54" spans="1:15" outlineLevel="1" x14ac:dyDescent="0.35">
      <c r="B54" s="132">
        <f>SUM(B52:B53)</f>
        <v>0</v>
      </c>
      <c r="C54" s="130"/>
      <c r="D54" s="130">
        <f>SUM(D52:D53)</f>
        <v>0</v>
      </c>
      <c r="E54" s="131"/>
      <c r="F54" s="130">
        <f>SUM(F52:F53)</f>
        <v>0</v>
      </c>
      <c r="G54" s="130">
        <f>SUM(G52:G53)</f>
        <v>0</v>
      </c>
      <c r="H54" s="129">
        <f>SUM(H52:H53)</f>
        <v>0</v>
      </c>
      <c r="I54" s="150"/>
      <c r="J54" s="151"/>
      <c r="K54" s="150"/>
      <c r="L54" s="151"/>
      <c r="M54" s="151"/>
      <c r="N54" s="151"/>
      <c r="O54" s="150"/>
    </row>
    <row r="55" spans="1:15" outlineLevel="1" x14ac:dyDescent="0.35">
      <c r="A55" t="s">
        <v>303</v>
      </c>
      <c r="I55" s="63"/>
      <c r="J55" s="63"/>
      <c r="K55" s="63"/>
      <c r="L55" s="63"/>
      <c r="M55" s="63"/>
      <c r="N55" s="63"/>
      <c r="O55" s="63"/>
    </row>
    <row r="56" spans="1:15" outlineLevel="1" x14ac:dyDescent="0.35">
      <c r="A56" s="149"/>
      <c r="B56" s="149"/>
      <c r="C56" s="149"/>
      <c r="D56" s="149"/>
      <c r="E56" s="149"/>
      <c r="F56" s="149"/>
      <c r="G56" s="149"/>
      <c r="H56" s="149"/>
      <c r="I56" s="63"/>
      <c r="J56" s="63"/>
      <c r="K56" s="63"/>
      <c r="L56" s="63"/>
      <c r="M56" s="63"/>
      <c r="N56" s="63"/>
      <c r="O56" s="63"/>
    </row>
    <row r="57" spans="1:15" outlineLevel="1" x14ac:dyDescent="0.35">
      <c r="A57" s="148"/>
      <c r="B57" s="148"/>
      <c r="C57" s="148"/>
      <c r="D57" s="148"/>
      <c r="E57" s="148"/>
      <c r="F57" s="148"/>
      <c r="G57" s="148"/>
      <c r="H57" s="148"/>
      <c r="I57" s="63"/>
      <c r="J57" s="63"/>
      <c r="K57" s="63"/>
      <c r="L57" s="63"/>
      <c r="M57" s="63"/>
      <c r="N57" s="63"/>
      <c r="O57" s="63"/>
    </row>
    <row r="58" spans="1:15" outlineLevel="1" x14ac:dyDescent="0.35">
      <c r="I58" s="63"/>
      <c r="J58" s="63"/>
      <c r="K58" s="63"/>
      <c r="L58" s="63"/>
      <c r="M58" s="63"/>
      <c r="N58" s="63"/>
      <c r="O58" s="63"/>
    </row>
    <row r="59" spans="1:15" x14ac:dyDescent="0.35">
      <c r="A59" s="612" t="s">
        <v>307</v>
      </c>
      <c r="B59" s="612"/>
      <c r="C59" s="612"/>
      <c r="D59" s="612"/>
      <c r="E59" s="612"/>
      <c r="F59" s="612"/>
      <c r="G59" s="612"/>
      <c r="H59" s="612"/>
      <c r="I59" s="156"/>
      <c r="J59" s="156"/>
      <c r="K59" s="156"/>
      <c r="L59" s="156"/>
      <c r="M59" s="156"/>
      <c r="N59" s="156"/>
      <c r="O59" s="156"/>
    </row>
    <row r="60" spans="1:15" outlineLevel="1" x14ac:dyDescent="0.35">
      <c r="A60" s="4"/>
      <c r="B60" s="613" t="s">
        <v>0</v>
      </c>
      <c r="C60" s="614"/>
      <c r="D60" s="614"/>
      <c r="E60" s="614"/>
      <c r="F60" s="614"/>
      <c r="G60" s="614"/>
      <c r="H60" s="614"/>
      <c r="I60" s="620"/>
      <c r="J60" s="620"/>
      <c r="K60" s="620"/>
      <c r="L60" s="620"/>
      <c r="M60" s="620"/>
      <c r="N60" s="620"/>
      <c r="O60" s="155"/>
    </row>
    <row r="61" spans="1:15" outlineLevel="1" x14ac:dyDescent="0.35">
      <c r="A61" t="s">
        <v>306</v>
      </c>
      <c r="B61" s="137" t="s">
        <v>289</v>
      </c>
      <c r="C61" s="118" t="s">
        <v>1</v>
      </c>
      <c r="D61" s="137" t="s">
        <v>299</v>
      </c>
      <c r="E61" s="138" t="s">
        <v>298</v>
      </c>
      <c r="F61" s="137" t="s">
        <v>297</v>
      </c>
      <c r="G61" s="117" t="s">
        <v>296</v>
      </c>
      <c r="H61" s="137" t="s">
        <v>295</v>
      </c>
      <c r="I61" s="110"/>
      <c r="J61" s="110"/>
      <c r="K61" s="110"/>
      <c r="L61" s="110"/>
      <c r="M61" s="110"/>
      <c r="N61" s="110"/>
      <c r="O61" s="63"/>
    </row>
    <row r="62" spans="1:15" outlineLevel="1" x14ac:dyDescent="0.35">
      <c r="A62" s="6" t="s">
        <v>305</v>
      </c>
      <c r="B62" s="154"/>
      <c r="C62" s="133">
        <f>+Rates!C34</f>
        <v>0</v>
      </c>
      <c r="D62" s="133">
        <f>+B62*C62</f>
        <v>0</v>
      </c>
      <c r="E62" s="124"/>
      <c r="F62" s="133">
        <f>+B62*Rates!F34</f>
        <v>0</v>
      </c>
      <c r="G62" s="133">
        <f>+B62*Rates!G34</f>
        <v>0</v>
      </c>
      <c r="H62" s="140">
        <f>SUM(D62:G62)</f>
        <v>0</v>
      </c>
      <c r="I62" s="63"/>
      <c r="J62" s="151"/>
      <c r="K62" s="150"/>
      <c r="L62" s="151"/>
      <c r="M62" s="151"/>
      <c r="N62" s="151"/>
      <c r="O62" s="152"/>
    </row>
    <row r="63" spans="1:15" outlineLevel="1" x14ac:dyDescent="0.35">
      <c r="A63" s="6" t="s">
        <v>304</v>
      </c>
      <c r="B63" s="153"/>
      <c r="C63" s="133">
        <f>+Rates!C35</f>
        <v>8.98</v>
      </c>
      <c r="D63" s="133">
        <f>+B63*C63</f>
        <v>0</v>
      </c>
      <c r="E63" s="124"/>
      <c r="F63" s="133">
        <f>+B63*Rates!F35</f>
        <v>0</v>
      </c>
      <c r="G63" s="133">
        <f>+B63*Rates!G35</f>
        <v>0</v>
      </c>
      <c r="H63" s="140">
        <f>SUM(D63:G63)</f>
        <v>0</v>
      </c>
      <c r="I63" s="63"/>
      <c r="J63" s="151"/>
      <c r="K63" s="150"/>
      <c r="L63" s="151"/>
      <c r="M63" s="151"/>
      <c r="N63" s="151"/>
      <c r="O63" s="152"/>
    </row>
    <row r="64" spans="1:15" outlineLevel="1" x14ac:dyDescent="0.35">
      <c r="B64" s="132">
        <f>SUM(B62:B63)</f>
        <v>0</v>
      </c>
      <c r="C64" s="130"/>
      <c r="D64" s="130">
        <f>SUM(D62:D63)</f>
        <v>0</v>
      </c>
      <c r="E64" s="131"/>
      <c r="F64" s="130">
        <f>SUM(F62:F63)</f>
        <v>0</v>
      </c>
      <c r="G64" s="130">
        <f>SUM(G62:G63)</f>
        <v>0</v>
      </c>
      <c r="H64" s="132">
        <f>SUM(H62:H63)</f>
        <v>0</v>
      </c>
      <c r="I64" s="150"/>
      <c r="J64" s="151"/>
      <c r="K64" s="150"/>
      <c r="L64" s="151"/>
      <c r="M64" s="151"/>
      <c r="N64" s="151"/>
      <c r="O64" s="150"/>
    </row>
    <row r="65" spans="1:15" outlineLevel="1" x14ac:dyDescent="0.35">
      <c r="A65" t="s">
        <v>303</v>
      </c>
      <c r="I65" s="63"/>
      <c r="J65" s="63"/>
      <c r="K65" s="63"/>
      <c r="L65" s="63"/>
      <c r="M65" s="63"/>
      <c r="N65" s="63"/>
      <c r="O65" s="63"/>
    </row>
    <row r="66" spans="1:15" outlineLevel="1" x14ac:dyDescent="0.35">
      <c r="A66" s="149"/>
      <c r="B66" s="149"/>
      <c r="C66" s="149"/>
      <c r="D66" s="149"/>
      <c r="E66" s="149"/>
      <c r="F66" s="149"/>
      <c r="G66" s="149"/>
      <c r="H66" s="149"/>
      <c r="I66" s="63"/>
      <c r="J66" s="63"/>
      <c r="K66" s="63"/>
      <c r="L66" s="63"/>
      <c r="M66" s="63"/>
      <c r="N66" s="63"/>
      <c r="O66" s="63"/>
    </row>
    <row r="67" spans="1:15" outlineLevel="1" x14ac:dyDescent="0.35">
      <c r="A67" s="148"/>
      <c r="B67" s="148"/>
      <c r="C67" s="148"/>
      <c r="D67" s="148"/>
      <c r="E67" s="148"/>
      <c r="F67" s="148"/>
      <c r="G67" s="148"/>
      <c r="H67" s="148"/>
      <c r="I67" s="63"/>
      <c r="J67" s="63"/>
      <c r="K67" s="63"/>
      <c r="L67" s="63"/>
      <c r="M67" s="63"/>
      <c r="N67" s="63"/>
      <c r="O67" s="63"/>
    </row>
    <row r="69" spans="1:15" x14ac:dyDescent="0.35">
      <c r="A69" s="612" t="s">
        <v>302</v>
      </c>
      <c r="B69" s="612"/>
      <c r="C69" s="612"/>
      <c r="D69" s="612"/>
      <c r="E69" s="612"/>
      <c r="F69" s="612"/>
      <c r="G69" s="612"/>
      <c r="H69" s="612"/>
      <c r="I69" s="612"/>
      <c r="J69" s="612"/>
      <c r="K69" s="612"/>
      <c r="L69" s="612"/>
      <c r="M69" s="612"/>
      <c r="N69" s="612"/>
      <c r="O69" s="612"/>
    </row>
    <row r="70" spans="1:15" x14ac:dyDescent="0.35">
      <c r="A70" s="4"/>
      <c r="B70" s="616" t="s">
        <v>0</v>
      </c>
      <c r="C70" s="616"/>
      <c r="D70" s="616"/>
      <c r="E70" s="616"/>
      <c r="F70" s="616"/>
      <c r="G70" s="616"/>
      <c r="H70" s="616"/>
      <c r="I70" s="616" t="s">
        <v>301</v>
      </c>
      <c r="J70" s="616"/>
      <c r="K70" s="616"/>
      <c r="L70" s="616"/>
      <c r="M70" s="616"/>
      <c r="N70" s="613"/>
      <c r="O70" s="147" t="s">
        <v>300</v>
      </c>
    </row>
    <row r="71" spans="1:15" x14ac:dyDescent="0.35">
      <c r="B71" s="137"/>
      <c r="C71" s="137"/>
      <c r="D71" s="137" t="s">
        <v>299</v>
      </c>
      <c r="E71" s="137" t="s">
        <v>298</v>
      </c>
      <c r="F71" s="137" t="s">
        <v>297</v>
      </c>
      <c r="G71" s="137" t="s">
        <v>296</v>
      </c>
      <c r="H71" s="137" t="s">
        <v>295</v>
      </c>
      <c r="I71" s="137"/>
      <c r="J71" s="137" t="s">
        <v>299</v>
      </c>
      <c r="K71" s="137" t="s">
        <v>298</v>
      </c>
      <c r="L71" s="137" t="s">
        <v>297</v>
      </c>
      <c r="M71" s="137" t="s">
        <v>296</v>
      </c>
      <c r="N71" s="117" t="s">
        <v>295</v>
      </c>
      <c r="O71" s="146"/>
    </row>
    <row r="72" spans="1:15" x14ac:dyDescent="0.35">
      <c r="A72" t="s">
        <v>179</v>
      </c>
      <c r="B72" s="145">
        <f>+B23</f>
        <v>0</v>
      </c>
      <c r="C72" s="143"/>
      <c r="D72" s="143">
        <f>+D23</f>
        <v>0</v>
      </c>
      <c r="E72" s="143">
        <f>+E23</f>
        <v>0</v>
      </c>
      <c r="F72" s="143">
        <f>+F23</f>
        <v>0</v>
      </c>
      <c r="G72" s="143">
        <f>+G23</f>
        <v>0</v>
      </c>
      <c r="H72" s="144">
        <f>SUM(D72:G72)</f>
        <v>0</v>
      </c>
      <c r="I72" s="143">
        <f>+I23</f>
        <v>0</v>
      </c>
      <c r="J72" s="143">
        <f>+J23</f>
        <v>0</v>
      </c>
      <c r="K72" s="143">
        <f>+K23</f>
        <v>0</v>
      </c>
      <c r="L72" s="143">
        <f>+L23</f>
        <v>0</v>
      </c>
      <c r="M72" s="143">
        <f>+M23</f>
        <v>0</v>
      </c>
      <c r="N72" s="143">
        <f>SUM(J72:M72)</f>
        <v>0</v>
      </c>
      <c r="O72" s="142">
        <f>+H72-N72</f>
        <v>0</v>
      </c>
    </row>
    <row r="73" spans="1:15" x14ac:dyDescent="0.35">
      <c r="A73" t="s">
        <v>286</v>
      </c>
      <c r="B73" s="141">
        <f>+B34+B54</f>
        <v>0</v>
      </c>
      <c r="C73" s="133"/>
      <c r="D73" s="133">
        <f>+D34+D54</f>
        <v>0</v>
      </c>
      <c r="E73" s="124"/>
      <c r="F73" s="133">
        <f>+F34+F54</f>
        <v>0</v>
      </c>
      <c r="G73" s="133">
        <f>+G34+G54</f>
        <v>0</v>
      </c>
      <c r="H73" s="126">
        <f>SUM(D73:G73)</f>
        <v>0</v>
      </c>
      <c r="I73" s="133">
        <f>+I34+I54</f>
        <v>0</v>
      </c>
      <c r="J73" s="133">
        <f>+J34+J54</f>
        <v>0</v>
      </c>
      <c r="K73" s="124"/>
      <c r="L73" s="133">
        <f>+L34+L54</f>
        <v>0</v>
      </c>
      <c r="M73" s="133">
        <f>+M34+M54</f>
        <v>0</v>
      </c>
      <c r="N73" s="133">
        <f>SUM(J73:M73)</f>
        <v>0</v>
      </c>
      <c r="O73" s="140">
        <f>+H73-N73</f>
        <v>0</v>
      </c>
    </row>
    <row r="74" spans="1:15" x14ac:dyDescent="0.35">
      <c r="A74" t="s">
        <v>284</v>
      </c>
      <c r="B74" s="141">
        <f>+B44+B64</f>
        <v>0</v>
      </c>
      <c r="C74" s="133"/>
      <c r="D74" s="133">
        <f>+D44+D64</f>
        <v>0</v>
      </c>
      <c r="E74" s="124"/>
      <c r="F74" s="133">
        <f>+F44+F64</f>
        <v>0</v>
      </c>
      <c r="G74" s="133">
        <f>+G44+G64</f>
        <v>0</v>
      </c>
      <c r="H74" s="126">
        <f>SUM(D74:G74)</f>
        <v>0</v>
      </c>
      <c r="I74" s="133">
        <f>+I44+I64</f>
        <v>0</v>
      </c>
      <c r="J74" s="133">
        <f>+J44+J64</f>
        <v>0</v>
      </c>
      <c r="K74" s="124"/>
      <c r="L74" s="133">
        <f>+L44+L64</f>
        <v>0</v>
      </c>
      <c r="M74" s="133">
        <f>+M44+M64</f>
        <v>0</v>
      </c>
      <c r="N74" s="133">
        <f>SUM(J74:M74)</f>
        <v>0</v>
      </c>
      <c r="O74" s="140">
        <f>+H74-N74</f>
        <v>0</v>
      </c>
    </row>
    <row r="75" spans="1:15" x14ac:dyDescent="0.35">
      <c r="B75" s="139"/>
      <c r="C75" s="130"/>
      <c r="D75" s="130">
        <f>SUM(D72:D74)</f>
        <v>0</v>
      </c>
      <c r="E75" s="130">
        <f>SUM(E72:E74)</f>
        <v>0</v>
      </c>
      <c r="F75" s="130">
        <f>SUM(F72:F74)</f>
        <v>0</v>
      </c>
      <c r="G75" s="130">
        <f>SUM(G72:G74)</f>
        <v>0</v>
      </c>
      <c r="H75" s="129">
        <f>SUM(H72:H74)</f>
        <v>0</v>
      </c>
      <c r="I75" s="130"/>
      <c r="J75" s="130">
        <f t="shared" ref="J75:O75" si="1">SUM(J72:J74)</f>
        <v>0</v>
      </c>
      <c r="K75" s="130">
        <f t="shared" si="1"/>
        <v>0</v>
      </c>
      <c r="L75" s="130">
        <f t="shared" si="1"/>
        <v>0</v>
      </c>
      <c r="M75" s="130">
        <f t="shared" si="1"/>
        <v>0</v>
      </c>
      <c r="N75" s="130">
        <f t="shared" si="1"/>
        <v>0</v>
      </c>
      <c r="O75" s="132">
        <f t="shared" si="1"/>
        <v>0</v>
      </c>
    </row>
    <row r="77" spans="1:15" x14ac:dyDescent="0.35">
      <c r="A77" s="617" t="s">
        <v>300</v>
      </c>
      <c r="B77" s="618"/>
      <c r="C77" s="618"/>
      <c r="D77" s="618"/>
      <c r="E77" s="618"/>
      <c r="F77" s="618"/>
      <c r="G77" s="618"/>
      <c r="H77" s="619"/>
    </row>
    <row r="78" spans="1:15" x14ac:dyDescent="0.35">
      <c r="A78" s="70"/>
      <c r="B78" s="137" t="s">
        <v>289</v>
      </c>
      <c r="C78" s="118"/>
      <c r="D78" s="137" t="s">
        <v>299</v>
      </c>
      <c r="E78" s="138" t="s">
        <v>298</v>
      </c>
      <c r="F78" s="137" t="s">
        <v>297</v>
      </c>
      <c r="G78" s="137" t="s">
        <v>296</v>
      </c>
      <c r="H78" s="137" t="s">
        <v>295</v>
      </c>
    </row>
    <row r="79" spans="1:15" x14ac:dyDescent="0.35">
      <c r="A79" s="70" t="s">
        <v>179</v>
      </c>
      <c r="B79" s="136"/>
      <c r="C79" s="133"/>
      <c r="D79" s="133">
        <f>+D72-J72</f>
        <v>0</v>
      </c>
      <c r="E79" s="133">
        <f>+E72-K72</f>
        <v>0</v>
      </c>
      <c r="F79" s="133">
        <f>+F72-L72</f>
        <v>0</v>
      </c>
      <c r="G79" s="133">
        <f>+G72-M72</f>
        <v>0</v>
      </c>
      <c r="H79" s="126">
        <f>SUM(D79:G79)</f>
        <v>0</v>
      </c>
    </row>
    <row r="80" spans="1:15" x14ac:dyDescent="0.35">
      <c r="A80" s="70" t="s">
        <v>286</v>
      </c>
      <c r="B80" s="135"/>
      <c r="C80" s="133"/>
      <c r="D80" s="133">
        <f>+D73-J73</f>
        <v>0</v>
      </c>
      <c r="E80" s="124"/>
      <c r="F80" s="133">
        <f t="shared" ref="F80:H81" si="2">+F73-L73</f>
        <v>0</v>
      </c>
      <c r="G80" s="133">
        <f t="shared" si="2"/>
        <v>0</v>
      </c>
      <c r="H80" s="126">
        <f t="shared" si="2"/>
        <v>0</v>
      </c>
    </row>
    <row r="81" spans="1:8" x14ac:dyDescent="0.35">
      <c r="A81" s="70" t="s">
        <v>284</v>
      </c>
      <c r="B81" s="134"/>
      <c r="C81" s="133"/>
      <c r="D81" s="133">
        <f>+D74-J74</f>
        <v>0</v>
      </c>
      <c r="E81" s="124"/>
      <c r="F81" s="133">
        <f t="shared" si="2"/>
        <v>0</v>
      </c>
      <c r="G81" s="133">
        <f t="shared" si="2"/>
        <v>0</v>
      </c>
      <c r="H81" s="126">
        <f t="shared" si="2"/>
        <v>0</v>
      </c>
    </row>
    <row r="82" spans="1:8" x14ac:dyDescent="0.35">
      <c r="A82" s="70"/>
      <c r="B82" s="132">
        <f>SUM(B79:B81)</f>
        <v>0</v>
      </c>
      <c r="C82" s="130"/>
      <c r="D82" s="130">
        <f>SUM(D79:D81)</f>
        <v>0</v>
      </c>
      <c r="E82" s="131"/>
      <c r="F82" s="130">
        <f>SUM(F79:F81)</f>
        <v>0</v>
      </c>
      <c r="G82" s="130">
        <f>SUM(G79:G81)</f>
        <v>0</v>
      </c>
      <c r="H82" s="129">
        <f>SUM(H79:H81)</f>
        <v>0</v>
      </c>
    </row>
    <row r="83" spans="1:8" outlineLevel="1" x14ac:dyDescent="0.35">
      <c r="A83" s="70"/>
      <c r="B83" s="124"/>
      <c r="C83" s="124"/>
      <c r="D83" s="124"/>
      <c r="E83" s="124"/>
      <c r="F83" s="124"/>
      <c r="G83" s="124"/>
      <c r="H83" s="123"/>
    </row>
    <row r="84" spans="1:8" outlineLevel="1" x14ac:dyDescent="0.35">
      <c r="A84" s="70" t="s">
        <v>294</v>
      </c>
      <c r="B84" s="124"/>
      <c r="C84" s="124"/>
      <c r="D84" s="124"/>
      <c r="E84" s="124"/>
      <c r="F84" s="124"/>
      <c r="G84" s="124"/>
      <c r="H84" s="123"/>
    </row>
    <row r="85" spans="1:8" outlineLevel="1" x14ac:dyDescent="0.35">
      <c r="A85" s="70" t="s">
        <v>293</v>
      </c>
      <c r="B85" s="128"/>
      <c r="C85" s="124"/>
      <c r="D85" s="127"/>
      <c r="E85" s="124"/>
      <c r="F85" s="124"/>
      <c r="G85" s="124"/>
      <c r="H85" s="126">
        <f>+D85</f>
        <v>0</v>
      </c>
    </row>
    <row r="86" spans="1:8" outlineLevel="1" x14ac:dyDescent="0.35">
      <c r="A86" s="70"/>
      <c r="B86" s="124"/>
      <c r="C86" s="124"/>
      <c r="D86" s="124"/>
      <c r="E86" s="124"/>
      <c r="F86" s="124"/>
      <c r="G86" s="124"/>
      <c r="H86" s="123"/>
    </row>
    <row r="87" spans="1:8" outlineLevel="1" x14ac:dyDescent="0.35">
      <c r="A87" s="70" t="s">
        <v>292</v>
      </c>
      <c r="B87" s="124"/>
      <c r="C87" s="124"/>
      <c r="D87" s="124"/>
      <c r="E87" s="124"/>
      <c r="F87" s="124"/>
      <c r="G87" s="124"/>
      <c r="H87" s="123"/>
    </row>
    <row r="88" spans="1:8" outlineLevel="1" x14ac:dyDescent="0.35">
      <c r="A88" s="70" t="s">
        <v>291</v>
      </c>
      <c r="B88" s="124"/>
      <c r="C88" s="124"/>
      <c r="D88" s="124"/>
      <c r="E88" s="124"/>
      <c r="F88" s="124"/>
      <c r="G88" s="124"/>
      <c r="H88" s="125"/>
    </row>
    <row r="89" spans="1:8" outlineLevel="1" x14ac:dyDescent="0.35">
      <c r="A89" s="70"/>
      <c r="B89" s="124"/>
      <c r="C89" s="124"/>
      <c r="D89" s="124"/>
      <c r="E89" s="124"/>
      <c r="F89" s="124"/>
      <c r="G89" s="124"/>
      <c r="H89" s="123"/>
    </row>
    <row r="90" spans="1:8" outlineLevel="1" x14ac:dyDescent="0.35">
      <c r="A90" s="122" t="s">
        <v>290</v>
      </c>
      <c r="B90" s="121"/>
      <c r="C90" s="121"/>
      <c r="D90" s="120">
        <f>SUM(D82:D89)</f>
        <v>0</v>
      </c>
      <c r="E90" s="120">
        <f>SUM(E82:E89)</f>
        <v>0</v>
      </c>
      <c r="F90" s="120">
        <f>SUM(F82:F89)</f>
        <v>0</v>
      </c>
      <c r="G90" s="120">
        <f>SUM(G82:G89)</f>
        <v>0</v>
      </c>
      <c r="H90" s="119">
        <f>SUM(H82:H89)</f>
        <v>0</v>
      </c>
    </row>
  </sheetData>
  <mergeCells count="19">
    <mergeCell ref="B40:H40"/>
    <mergeCell ref="I40:N40"/>
    <mergeCell ref="B50:H50"/>
    <mergeCell ref="I50:N50"/>
    <mergeCell ref="A49:H49"/>
    <mergeCell ref="A77:H77"/>
    <mergeCell ref="A59:H59"/>
    <mergeCell ref="B60:H60"/>
    <mergeCell ref="I60:N60"/>
    <mergeCell ref="A69:O69"/>
    <mergeCell ref="B70:H70"/>
    <mergeCell ref="I70:N70"/>
    <mergeCell ref="A15:O15"/>
    <mergeCell ref="A28:O28"/>
    <mergeCell ref="B29:H29"/>
    <mergeCell ref="I29:N29"/>
    <mergeCell ref="A39:O39"/>
    <mergeCell ref="B16:H16"/>
    <mergeCell ref="I16:N16"/>
  </mergeCells>
  <pageMargins left="0.11811023622047245" right="0.11811023622047245" top="0.15748031496062992" bottom="0.15748031496062992" header="0.31496062992125984" footer="0.31496062992125984"/>
  <pageSetup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5909F-7212-469C-BCFA-868A1542C938}">
  <sheetPr codeName="Sheet10"/>
  <dimension ref="A1:I38"/>
  <sheetViews>
    <sheetView workbookViewId="0">
      <selection activeCell="C22" sqref="C22"/>
    </sheetView>
  </sheetViews>
  <sheetFormatPr defaultRowHeight="14.5" x14ac:dyDescent="0.35"/>
  <cols>
    <col min="1" max="1" width="7.54296875" customWidth="1"/>
    <col min="2" max="2" width="18.453125" customWidth="1"/>
    <col min="3" max="3" width="12.7265625" customWidth="1"/>
    <col min="4" max="4" width="3.81640625" customWidth="1"/>
    <col min="5" max="5" width="12.7265625" customWidth="1"/>
    <col min="6" max="6" width="13.26953125" bestFit="1" customWidth="1"/>
    <col min="7" max="7" width="12.7265625" customWidth="1"/>
    <col min="8" max="8" width="3.81640625" customWidth="1"/>
    <col min="9" max="9" width="12.7265625" customWidth="1"/>
  </cols>
  <sheetData>
    <row r="1" spans="1:9" x14ac:dyDescent="0.35">
      <c r="A1" s="4" t="s">
        <v>334</v>
      </c>
    </row>
    <row r="2" spans="1:9" x14ac:dyDescent="0.35">
      <c r="A2" s="4" t="s">
        <v>333</v>
      </c>
    </row>
    <row r="3" spans="1:9" x14ac:dyDescent="0.35">
      <c r="A3" s="4" t="s">
        <v>332</v>
      </c>
    </row>
    <row r="4" spans="1:9" x14ac:dyDescent="0.35">
      <c r="A4" s="4"/>
    </row>
    <row r="5" spans="1:9" x14ac:dyDescent="0.35">
      <c r="B5" s="4" t="s">
        <v>346</v>
      </c>
      <c r="C5" s="177"/>
      <c r="D5" s="177"/>
      <c r="E5" s="177"/>
      <c r="F5" s="177"/>
      <c r="G5" s="177"/>
      <c r="H5" s="177"/>
      <c r="I5" s="177"/>
    </row>
    <row r="6" spans="1:9" x14ac:dyDescent="0.35">
      <c r="B6" s="69"/>
      <c r="C6" s="176" t="s">
        <v>337</v>
      </c>
      <c r="D6" s="176"/>
      <c r="E6" s="176" t="s">
        <v>298</v>
      </c>
      <c r="F6" s="176" t="s">
        <v>336</v>
      </c>
      <c r="G6" s="176" t="s">
        <v>335</v>
      </c>
      <c r="H6" s="176"/>
      <c r="I6" s="175" t="s">
        <v>295</v>
      </c>
    </row>
    <row r="7" spans="1:9" x14ac:dyDescent="0.35">
      <c r="B7" s="70" t="s">
        <v>345</v>
      </c>
      <c r="C7" s="75">
        <v>28095</v>
      </c>
      <c r="D7" s="75"/>
      <c r="E7" s="75">
        <v>229</v>
      </c>
      <c r="F7" s="75">
        <v>739</v>
      </c>
      <c r="G7" s="75">
        <v>1040</v>
      </c>
      <c r="H7" s="75"/>
      <c r="I7" s="178">
        <f>+C7+E7+F7+G7</f>
        <v>30103</v>
      </c>
    </row>
    <row r="8" spans="1:9" x14ac:dyDescent="0.35">
      <c r="B8" s="70" t="s">
        <v>344</v>
      </c>
      <c r="C8" s="75">
        <v>20138</v>
      </c>
      <c r="D8" s="75"/>
      <c r="E8" s="75">
        <v>164</v>
      </c>
      <c r="F8" s="75">
        <v>739</v>
      </c>
      <c r="G8" s="75">
        <v>1040</v>
      </c>
      <c r="H8" s="75"/>
      <c r="I8" s="178">
        <f>+C8+E8+F8+G8</f>
        <v>22081</v>
      </c>
    </row>
    <row r="9" spans="1:9" x14ac:dyDescent="0.35">
      <c r="B9" s="70" t="s">
        <v>343</v>
      </c>
      <c r="C9" s="75">
        <v>17346</v>
      </c>
      <c r="D9" s="75"/>
      <c r="E9" s="75">
        <v>141</v>
      </c>
      <c r="F9" s="75">
        <v>739</v>
      </c>
      <c r="G9" s="75">
        <v>1040</v>
      </c>
      <c r="H9" s="75"/>
      <c r="I9" s="178">
        <f>+C9+E9+F9+G9</f>
        <v>19266</v>
      </c>
    </row>
    <row r="10" spans="1:9" x14ac:dyDescent="0.35">
      <c r="B10" s="70" t="s">
        <v>342</v>
      </c>
      <c r="C10" s="75">
        <v>11576</v>
      </c>
      <c r="D10" s="75"/>
      <c r="E10" s="75">
        <v>95</v>
      </c>
      <c r="F10" s="75">
        <v>739</v>
      </c>
      <c r="G10" s="75">
        <v>1040</v>
      </c>
      <c r="H10" s="75"/>
      <c r="I10" s="178">
        <f>+C10+E10+F10+G10</f>
        <v>13450</v>
      </c>
    </row>
    <row r="11" spans="1:9" x14ac:dyDescent="0.35">
      <c r="B11" s="72" t="s">
        <v>318</v>
      </c>
      <c r="C11" s="173">
        <v>8809</v>
      </c>
      <c r="D11" s="173"/>
      <c r="E11" s="173">
        <v>74</v>
      </c>
      <c r="F11" s="173">
        <v>739</v>
      </c>
      <c r="G11" s="173">
        <v>1040</v>
      </c>
      <c r="H11" s="173"/>
      <c r="I11" s="172">
        <f>+C11+E11+F11+G11</f>
        <v>10662</v>
      </c>
    </row>
    <row r="12" spans="1:9" x14ac:dyDescent="0.35">
      <c r="C12" s="74"/>
      <c r="D12" s="74"/>
      <c r="E12" s="74"/>
      <c r="F12" s="74"/>
      <c r="G12" s="74"/>
      <c r="H12" s="74"/>
    </row>
    <row r="13" spans="1:9" x14ac:dyDescent="0.35">
      <c r="B13" s="4" t="s">
        <v>341</v>
      </c>
      <c r="C13" s="177"/>
      <c r="D13" s="177"/>
      <c r="E13" s="177"/>
      <c r="F13" s="177"/>
      <c r="G13" s="177"/>
      <c r="H13" s="177"/>
      <c r="I13" s="177"/>
    </row>
    <row r="14" spans="1:9" x14ac:dyDescent="0.35">
      <c r="B14" s="69"/>
      <c r="C14" s="176" t="s">
        <v>337</v>
      </c>
      <c r="D14" s="176"/>
      <c r="E14" s="176" t="s">
        <v>298</v>
      </c>
      <c r="F14" s="176" t="s">
        <v>336</v>
      </c>
      <c r="G14" s="176" t="s">
        <v>335</v>
      </c>
      <c r="H14" s="176"/>
      <c r="I14" s="175" t="s">
        <v>295</v>
      </c>
    </row>
    <row r="15" spans="1:9" x14ac:dyDescent="0.35">
      <c r="B15" s="70" t="s">
        <v>309</v>
      </c>
      <c r="C15" s="9">
        <v>8.08</v>
      </c>
      <c r="D15" s="9"/>
      <c r="E15" s="9">
        <v>0</v>
      </c>
      <c r="F15" s="9">
        <v>0.22</v>
      </c>
      <c r="G15" s="9">
        <v>0.4</v>
      </c>
      <c r="H15" s="75"/>
      <c r="I15" s="174">
        <f>+C15+E15+F15+G15</f>
        <v>8.7000000000000011</v>
      </c>
    </row>
    <row r="16" spans="1:9" x14ac:dyDescent="0.35">
      <c r="B16" s="70" t="s">
        <v>315</v>
      </c>
      <c r="C16" s="9">
        <v>12.12</v>
      </c>
      <c r="D16" s="9"/>
      <c r="E16" s="9">
        <v>0</v>
      </c>
      <c r="F16" s="9">
        <v>0.22</v>
      </c>
      <c r="G16" s="9">
        <v>0.4</v>
      </c>
      <c r="H16" s="75"/>
      <c r="I16" s="174">
        <f>+C16+E16+F16+G16</f>
        <v>12.74</v>
      </c>
    </row>
    <row r="17" spans="2:9" x14ac:dyDescent="0.35">
      <c r="B17" s="70" t="s">
        <v>314</v>
      </c>
      <c r="C17" s="9">
        <v>16.16</v>
      </c>
      <c r="D17" s="9"/>
      <c r="E17" s="9">
        <v>0</v>
      </c>
      <c r="F17" s="9">
        <v>0.22</v>
      </c>
      <c r="G17" s="9">
        <v>0.4</v>
      </c>
      <c r="H17" s="75"/>
      <c r="I17" s="174">
        <f>+C17+E17+F17+G17</f>
        <v>16.779999999999998</v>
      </c>
    </row>
    <row r="18" spans="2:9" x14ac:dyDescent="0.35">
      <c r="B18" s="72"/>
      <c r="C18" s="173"/>
      <c r="D18" s="173"/>
      <c r="E18" s="173"/>
      <c r="F18" s="173"/>
      <c r="G18" s="173"/>
      <c r="H18" s="173"/>
      <c r="I18" s="172">
        <f>+C18+E18+F18+G18</f>
        <v>0</v>
      </c>
    </row>
    <row r="20" spans="2:9" x14ac:dyDescent="0.35">
      <c r="B20" s="4" t="s">
        <v>340</v>
      </c>
      <c r="C20" s="177"/>
      <c r="D20" s="177"/>
      <c r="E20" s="177"/>
      <c r="F20" s="177"/>
      <c r="G20" s="177"/>
      <c r="H20" s="177"/>
      <c r="I20" s="177"/>
    </row>
    <row r="21" spans="2:9" x14ac:dyDescent="0.35">
      <c r="B21" s="69"/>
      <c r="C21" s="176" t="s">
        <v>337</v>
      </c>
      <c r="D21" s="176"/>
      <c r="E21" s="176" t="s">
        <v>298</v>
      </c>
      <c r="F21" s="176" t="s">
        <v>336</v>
      </c>
      <c r="G21" s="176" t="s">
        <v>335</v>
      </c>
      <c r="H21" s="176"/>
      <c r="I21" s="175" t="s">
        <v>295</v>
      </c>
    </row>
    <row r="22" spans="2:9" x14ac:dyDescent="0.35">
      <c r="B22" s="70" t="s">
        <v>312</v>
      </c>
      <c r="C22" s="9">
        <v>7.07</v>
      </c>
      <c r="D22" s="9"/>
      <c r="E22" s="9">
        <v>0</v>
      </c>
      <c r="F22" s="9">
        <v>0.22</v>
      </c>
      <c r="G22" s="9">
        <v>0.4</v>
      </c>
      <c r="H22" s="75"/>
      <c r="I22" s="174">
        <f>+C22+E22+F22+G22</f>
        <v>7.69</v>
      </c>
    </row>
    <row r="23" spans="2:9" x14ac:dyDescent="0.35">
      <c r="B23" s="70" t="s">
        <v>314</v>
      </c>
      <c r="C23" s="9">
        <v>8.98</v>
      </c>
      <c r="D23" s="9"/>
      <c r="E23" s="9">
        <v>0</v>
      </c>
      <c r="F23" s="9">
        <v>0.22</v>
      </c>
      <c r="G23" s="9">
        <v>0.4</v>
      </c>
      <c r="H23" s="75"/>
      <c r="I23" s="174">
        <f>+C23+E23+F23+G23</f>
        <v>9.6000000000000014</v>
      </c>
    </row>
    <row r="24" spans="2:9" x14ac:dyDescent="0.35">
      <c r="B24" s="72"/>
      <c r="C24" s="173"/>
      <c r="D24" s="173"/>
      <c r="E24" s="173"/>
      <c r="F24" s="173"/>
      <c r="G24" s="173"/>
      <c r="H24" s="173"/>
      <c r="I24" s="172">
        <f>+C24+E24+F24+G24</f>
        <v>0</v>
      </c>
    </row>
    <row r="26" spans="2:9" x14ac:dyDescent="0.35">
      <c r="B26" s="4" t="s">
        <v>339</v>
      </c>
      <c r="C26" s="177"/>
      <c r="D26" s="177"/>
      <c r="E26" s="177"/>
      <c r="F26" s="177"/>
      <c r="G26" s="177"/>
      <c r="H26" s="177"/>
      <c r="I26" s="177"/>
    </row>
    <row r="27" spans="2:9" x14ac:dyDescent="0.35">
      <c r="B27" s="69"/>
      <c r="C27" s="176" t="s">
        <v>337</v>
      </c>
      <c r="D27" s="176"/>
      <c r="E27" s="176" t="s">
        <v>298</v>
      </c>
      <c r="F27" s="176" t="s">
        <v>336</v>
      </c>
      <c r="G27" s="176" t="s">
        <v>335</v>
      </c>
      <c r="H27" s="176"/>
      <c r="I27" s="175" t="s">
        <v>295</v>
      </c>
    </row>
    <row r="28" spans="2:9" x14ac:dyDescent="0.35">
      <c r="B28" s="70" t="s">
        <v>309</v>
      </c>
      <c r="C28" s="9">
        <v>0</v>
      </c>
      <c r="D28" s="9"/>
      <c r="E28" s="9">
        <v>0</v>
      </c>
      <c r="F28" s="9">
        <v>0.22</v>
      </c>
      <c r="G28" s="9">
        <v>0.4</v>
      </c>
      <c r="H28" s="75"/>
      <c r="I28" s="174">
        <f>+C28+E28+F28+G28</f>
        <v>0.62</v>
      </c>
    </row>
    <row r="29" spans="2:9" x14ac:dyDescent="0.35">
      <c r="B29" s="70" t="s">
        <v>308</v>
      </c>
      <c r="C29" s="9">
        <v>16.16</v>
      </c>
      <c r="D29" s="9"/>
      <c r="E29" s="9">
        <v>0</v>
      </c>
      <c r="F29" s="9">
        <v>0.22</v>
      </c>
      <c r="G29" s="9">
        <v>0.4</v>
      </c>
      <c r="H29" s="75"/>
      <c r="I29" s="174">
        <f>+C29+E29+F29+G29</f>
        <v>16.779999999999998</v>
      </c>
    </row>
    <row r="30" spans="2:9" x14ac:dyDescent="0.35">
      <c r="B30" s="72"/>
      <c r="C30" s="173"/>
      <c r="D30" s="173"/>
      <c r="E30" s="173"/>
      <c r="F30" s="173"/>
      <c r="G30" s="173"/>
      <c r="H30" s="173"/>
      <c r="I30" s="172">
        <f>+C30+E30+F30+G30</f>
        <v>0</v>
      </c>
    </row>
    <row r="31" spans="2:9" x14ac:dyDescent="0.35">
      <c r="B31" s="6"/>
      <c r="C31" s="75"/>
      <c r="D31" s="75"/>
      <c r="E31" s="75"/>
      <c r="F31" s="75"/>
      <c r="G31" s="75"/>
      <c r="H31" s="75"/>
      <c r="I31" s="171"/>
    </row>
    <row r="32" spans="2:9" x14ac:dyDescent="0.35">
      <c r="B32" s="4" t="s">
        <v>338</v>
      </c>
      <c r="C32" s="177"/>
      <c r="D32" s="177"/>
      <c r="E32" s="177"/>
      <c r="F32" s="177"/>
      <c r="G32" s="177"/>
      <c r="H32" s="177"/>
      <c r="I32" s="177"/>
    </row>
    <row r="33" spans="2:9" x14ac:dyDescent="0.35">
      <c r="B33" s="69"/>
      <c r="C33" s="176" t="s">
        <v>337</v>
      </c>
      <c r="D33" s="176"/>
      <c r="E33" s="176" t="s">
        <v>298</v>
      </c>
      <c r="F33" s="176" t="s">
        <v>336</v>
      </c>
      <c r="G33" s="176" t="s">
        <v>335</v>
      </c>
      <c r="H33" s="176"/>
      <c r="I33" s="175" t="s">
        <v>295</v>
      </c>
    </row>
    <row r="34" spans="2:9" x14ac:dyDescent="0.35">
      <c r="B34" s="70" t="s">
        <v>305</v>
      </c>
      <c r="C34" s="9">
        <v>0</v>
      </c>
      <c r="D34" s="9"/>
      <c r="E34" s="9">
        <v>0</v>
      </c>
      <c r="F34" s="9">
        <v>0.22</v>
      </c>
      <c r="G34" s="9">
        <v>0.4</v>
      </c>
      <c r="H34" s="75"/>
      <c r="I34" s="174">
        <f>+C34+E34+F34+G34</f>
        <v>0.62</v>
      </c>
    </row>
    <row r="35" spans="2:9" x14ac:dyDescent="0.35">
      <c r="B35" s="70" t="s">
        <v>304</v>
      </c>
      <c r="C35" s="9">
        <v>8.98</v>
      </c>
      <c r="D35" s="9"/>
      <c r="E35" s="9">
        <v>0</v>
      </c>
      <c r="F35" s="9">
        <v>0.22</v>
      </c>
      <c r="G35" s="9">
        <v>0.4</v>
      </c>
      <c r="H35" s="75"/>
      <c r="I35" s="174">
        <f>+C35+E35+F35+G35</f>
        <v>9.6000000000000014</v>
      </c>
    </row>
    <row r="36" spans="2:9" x14ac:dyDescent="0.35">
      <c r="B36" s="72"/>
      <c r="C36" s="173"/>
      <c r="D36" s="173"/>
      <c r="E36" s="173"/>
      <c r="F36" s="173"/>
      <c r="G36" s="173"/>
      <c r="H36" s="173"/>
      <c r="I36" s="172">
        <f>+C36+E36+F36+G36</f>
        <v>0</v>
      </c>
    </row>
    <row r="37" spans="2:9" x14ac:dyDescent="0.35">
      <c r="B37" s="6"/>
      <c r="C37" s="75"/>
      <c r="D37" s="75"/>
      <c r="E37" s="75"/>
      <c r="F37" s="75"/>
      <c r="G37" s="75"/>
      <c r="H37" s="75"/>
      <c r="I37" s="171"/>
    </row>
    <row r="38" spans="2:9" x14ac:dyDescent="0.35">
      <c r="B38" s="6"/>
      <c r="C38" s="75"/>
      <c r="D38" s="75"/>
      <c r="E38" s="75"/>
      <c r="F38" s="75"/>
      <c r="G38" s="75"/>
      <c r="H38" s="75"/>
      <c r="I38" s="171"/>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621BC-CEA0-453E-8FEB-241548D1F28F}">
  <sheetPr codeName="Sheet11">
    <tabColor rgb="FFFF0000"/>
  </sheetPr>
  <dimension ref="A1:Q115"/>
  <sheetViews>
    <sheetView zoomScale="80" zoomScaleNormal="80" workbookViewId="0">
      <pane xSplit="2" ySplit="5" topLeftCell="C6" activePane="bottomRight" state="frozen"/>
      <selection pane="topRight" activeCell="C1" sqref="C1"/>
      <selection pane="bottomLeft" activeCell="A6" sqref="A6"/>
      <selection pane="bottomRight" activeCell="F34" sqref="F34"/>
    </sheetView>
  </sheetViews>
  <sheetFormatPr defaultRowHeight="14.5" outlineLevelRow="3" x14ac:dyDescent="0.35"/>
  <cols>
    <col min="1" max="1" width="3.81640625" customWidth="1"/>
    <col min="2" max="2" width="50" customWidth="1"/>
    <col min="3" max="3" width="20.54296875" customWidth="1"/>
    <col min="4" max="4" width="19" style="6" customWidth="1"/>
    <col min="5" max="5" width="19.1796875" style="6" customWidth="1"/>
    <col min="6" max="6" width="19" style="6" customWidth="1"/>
    <col min="7" max="7" width="17.7265625" style="6" bestFit="1" customWidth="1"/>
    <col min="8" max="8" width="11.453125" style="6" bestFit="1" customWidth="1"/>
    <col min="9" max="9" width="12.1796875" style="6" bestFit="1" customWidth="1"/>
    <col min="10" max="10" width="17.1796875" style="6" bestFit="1" customWidth="1"/>
    <col min="11" max="12" width="15.81640625" style="6" customWidth="1"/>
    <col min="13" max="14" width="12.7265625" style="9" customWidth="1"/>
    <col min="15" max="15" width="13.81640625" style="6" customWidth="1"/>
    <col min="16" max="16" width="12.7265625" style="6" bestFit="1" customWidth="1"/>
    <col min="17" max="17" width="13.81640625" style="6" customWidth="1"/>
    <col min="18" max="18" width="9.26953125" bestFit="1" customWidth="1"/>
    <col min="19" max="20" width="9.54296875" bestFit="1" customWidth="1"/>
  </cols>
  <sheetData>
    <row r="1" spans="2:17" x14ac:dyDescent="0.35">
      <c r="M1" s="14"/>
    </row>
    <row r="2" spans="2:17" s="58" customFormat="1" ht="18.5" x14ac:dyDescent="0.45">
      <c r="B2" s="568" t="s">
        <v>33</v>
      </c>
      <c r="C2" s="559"/>
      <c r="D2" s="559"/>
      <c r="E2" s="559"/>
      <c r="F2" s="559"/>
      <c r="G2" s="559"/>
      <c r="H2" s="559"/>
      <c r="I2" s="559"/>
      <c r="J2" s="559"/>
      <c r="K2" s="559"/>
      <c r="L2" s="559"/>
      <c r="M2" s="559"/>
      <c r="N2" s="559"/>
      <c r="O2" s="559"/>
      <c r="P2" s="56"/>
      <c r="Q2" s="57"/>
    </row>
    <row r="3" spans="2:17" s="60" customFormat="1" ht="15.5" x14ac:dyDescent="0.35">
      <c r="B3" s="59"/>
      <c r="C3" s="569" t="s">
        <v>21</v>
      </c>
      <c r="D3" s="569"/>
      <c r="E3" s="569"/>
      <c r="F3" s="569"/>
      <c r="G3" s="569"/>
      <c r="H3" s="570" t="s">
        <v>78</v>
      </c>
      <c r="I3" s="571"/>
      <c r="J3" s="553" t="s">
        <v>30</v>
      </c>
      <c r="K3" s="553"/>
      <c r="L3" s="561"/>
      <c r="M3" s="572" t="s">
        <v>31</v>
      </c>
      <c r="N3" s="562"/>
      <c r="O3" s="562"/>
      <c r="P3" s="562"/>
      <c r="Q3" s="563"/>
    </row>
    <row r="4" spans="2:17" s="10" customFormat="1" ht="72.5" x14ac:dyDescent="0.35">
      <c r="B4" s="621"/>
      <c r="C4" s="11" t="s">
        <v>99</v>
      </c>
      <c r="D4" s="12" t="s">
        <v>101</v>
      </c>
      <c r="E4" s="12" t="s">
        <v>102</v>
      </c>
      <c r="F4" s="12" t="s">
        <v>98</v>
      </c>
      <c r="G4" s="16" t="s">
        <v>100</v>
      </c>
      <c r="H4" s="18" t="s">
        <v>80</v>
      </c>
      <c r="I4" s="67" t="s">
        <v>81</v>
      </c>
      <c r="J4" s="11" t="s">
        <v>95</v>
      </c>
      <c r="K4" s="11" t="s">
        <v>2</v>
      </c>
      <c r="L4" s="11" t="s">
        <v>3</v>
      </c>
      <c r="M4" s="12" t="s">
        <v>4</v>
      </c>
      <c r="N4" s="20" t="s">
        <v>5</v>
      </c>
      <c r="O4" s="12" t="s">
        <v>6</v>
      </c>
      <c r="P4" s="11" t="s">
        <v>7</v>
      </c>
      <c r="Q4" s="12" t="s">
        <v>8</v>
      </c>
    </row>
    <row r="5" spans="2:17" s="10" customFormat="1" x14ac:dyDescent="0.35">
      <c r="B5" s="622"/>
      <c r="C5" s="21" t="s">
        <v>103</v>
      </c>
      <c r="D5" s="13" t="s">
        <v>103</v>
      </c>
      <c r="E5" s="13" t="s">
        <v>103</v>
      </c>
      <c r="F5" s="13" t="s">
        <v>103</v>
      </c>
      <c r="G5" s="17" t="s">
        <v>104</v>
      </c>
      <c r="H5" s="566" t="s">
        <v>22</v>
      </c>
      <c r="I5" s="623"/>
      <c r="J5" s="19" t="s">
        <v>22</v>
      </c>
      <c r="K5" s="13" t="s">
        <v>22</v>
      </c>
      <c r="L5" s="13" t="s">
        <v>22</v>
      </c>
      <c r="M5" s="36" t="s">
        <v>22</v>
      </c>
      <c r="N5" s="22" t="s">
        <v>22</v>
      </c>
      <c r="O5" s="22" t="s">
        <v>22</v>
      </c>
      <c r="P5" s="22" t="s">
        <v>22</v>
      </c>
      <c r="Q5" s="37" t="s">
        <v>22</v>
      </c>
    </row>
    <row r="6" spans="2:17" x14ac:dyDescent="0.35">
      <c r="C6" s="112" t="e">
        <f>#REF!</f>
        <v>#REF!</v>
      </c>
      <c r="D6" s="113" t="e">
        <f>#REF!</f>
        <v>#REF!</v>
      </c>
      <c r="E6" s="113" t="e">
        <f>#REF!</f>
        <v>#REF!</v>
      </c>
      <c r="F6" s="113" t="e">
        <f>#REF!</f>
        <v>#REF!</v>
      </c>
      <c r="G6" s="113" t="e">
        <f>#REF!</f>
        <v>#REF!</v>
      </c>
      <c r="H6" s="114" t="e">
        <f>SUM(#REF!)</f>
        <v>#REF!</v>
      </c>
      <c r="I6" s="115" t="e">
        <f>SUM(#REF!)</f>
        <v>#REF!</v>
      </c>
      <c r="J6" s="116" t="e">
        <f>#REF!</f>
        <v>#REF!</v>
      </c>
      <c r="K6" s="116" t="e">
        <f>#REF!</f>
        <v>#REF!</v>
      </c>
      <c r="L6" s="116" t="e">
        <f>#REF!</f>
        <v>#REF!</v>
      </c>
      <c r="M6" s="116" t="e">
        <f>#REF!</f>
        <v>#REF!</v>
      </c>
      <c r="N6" s="116" t="e">
        <f>#REF!</f>
        <v>#REF!</v>
      </c>
      <c r="O6" s="116" t="e">
        <f>#REF!</f>
        <v>#REF!</v>
      </c>
      <c r="P6" s="116" t="e">
        <f>#REF!</f>
        <v>#REF!</v>
      </c>
      <c r="Q6" s="116" t="e">
        <f>#REF!</f>
        <v>#REF!</v>
      </c>
    </row>
    <row r="7" spans="2:17" ht="15.5" x14ac:dyDescent="0.35">
      <c r="B7" s="61" t="s">
        <v>23</v>
      </c>
      <c r="H7" s="32"/>
      <c r="I7" s="45"/>
    </row>
    <row r="8" spans="2:17" s="4" customFormat="1" x14ac:dyDescent="0.35">
      <c r="B8" s="26" t="s">
        <v>56</v>
      </c>
      <c r="C8" s="27" t="e">
        <f t="shared" ref="C8:H8" si="0">SUM(C9:C28)</f>
        <v>#REF!</v>
      </c>
      <c r="D8" s="27" t="e">
        <f t="shared" si="0"/>
        <v>#REF!</v>
      </c>
      <c r="E8" s="27" t="e">
        <f t="shared" si="0"/>
        <v>#REF!</v>
      </c>
      <c r="F8" s="27" t="e">
        <f t="shared" si="0"/>
        <v>#REF!</v>
      </c>
      <c r="G8" s="27" t="e">
        <f t="shared" si="0"/>
        <v>#REF!</v>
      </c>
      <c r="H8" s="33" t="e">
        <f t="shared" si="0"/>
        <v>#REF!</v>
      </c>
      <c r="I8" s="46" t="e">
        <f t="shared" ref="I8:Q8" si="1">SUM(I9:I28)</f>
        <v>#REF!</v>
      </c>
      <c r="J8" s="30" t="e">
        <f t="shared" si="1"/>
        <v>#REF!</v>
      </c>
      <c r="K8" s="30">
        <f t="shared" si="1"/>
        <v>0</v>
      </c>
      <c r="L8" s="30" t="e">
        <f t="shared" si="1"/>
        <v>#REF!</v>
      </c>
      <c r="M8" s="30" t="e">
        <f t="shared" si="1"/>
        <v>#REF!</v>
      </c>
      <c r="N8" s="30" t="e">
        <f t="shared" si="1"/>
        <v>#REF!</v>
      </c>
      <c r="O8" s="30" t="e">
        <f t="shared" si="1"/>
        <v>#REF!</v>
      </c>
      <c r="P8" s="30">
        <f t="shared" si="1"/>
        <v>0</v>
      </c>
      <c r="Q8" s="30" t="e">
        <f t="shared" si="1"/>
        <v>#REF!</v>
      </c>
    </row>
    <row r="9" spans="2:17" outlineLevel="2" x14ac:dyDescent="0.35">
      <c r="B9" s="23" t="s">
        <v>35</v>
      </c>
      <c r="C9" s="25" t="e">
        <f>'2020 Rates'!C9*'Calculation Sheet (OLD)'!C$6</f>
        <v>#REF!</v>
      </c>
      <c r="D9" s="25" t="e">
        <f>'2020 Rates'!D9*'Calculation Sheet (OLD)'!D$6</f>
        <v>#REF!</v>
      </c>
      <c r="E9" s="25" t="e">
        <f>'2020 Rates'!E9*'Calculation Sheet (OLD)'!E$6</f>
        <v>#REF!</v>
      </c>
      <c r="F9" s="25" t="e">
        <f>'2020 Rates'!F9*'Calculation Sheet (OLD)'!F$6</f>
        <v>#REF!</v>
      </c>
      <c r="G9" s="25" t="e">
        <f>'2020 Rates'!G9*'Calculation Sheet (OLD)'!G$6</f>
        <v>#REF!</v>
      </c>
      <c r="H9" s="34" t="e">
        <f>'2020 Rates'!#REF!*'Calculation Sheet (OLD)'!H$6</f>
        <v>#REF!</v>
      </c>
      <c r="I9" s="48" t="e">
        <f>'2020 Rates'!H9*'Calculation Sheet (OLD)'!I$6</f>
        <v>#REF!</v>
      </c>
      <c r="J9" s="38"/>
      <c r="K9" s="38"/>
      <c r="L9" s="38"/>
      <c r="M9" s="9" t="e">
        <f>'2020 Rates'!#REF!*'Calculation Sheet (OLD)'!M$6</f>
        <v>#REF!</v>
      </c>
      <c r="N9" s="9" t="e">
        <f>'2020 Rates'!#REF!*'Calculation Sheet (OLD)'!N$6</f>
        <v>#REF!</v>
      </c>
      <c r="O9" s="38" t="e">
        <f>'2020 Rates'!K9*'Calculation Sheet (OLD)'!O$6</f>
        <v>#REF!</v>
      </c>
      <c r="Q9" s="38" t="e">
        <f>'2020 Rates'!L9*'Calculation Sheet (OLD)'!Q$6</f>
        <v>#REF!</v>
      </c>
    </row>
    <row r="10" spans="2:17" ht="26.5" outlineLevel="3" x14ac:dyDescent="0.35">
      <c r="B10" s="64" t="s">
        <v>96</v>
      </c>
      <c r="C10" s="25"/>
      <c r="D10" s="25"/>
      <c r="E10" s="25"/>
      <c r="F10" s="25"/>
      <c r="G10" s="25"/>
      <c r="H10" s="34"/>
      <c r="I10" s="48"/>
      <c r="J10" s="38" t="e">
        <f>IF(#REF!="Combined Sewer System",'2020 Rates'!#REF!*'Calculation Sheet (OLD)'!$J$6,0)</f>
        <v>#REF!</v>
      </c>
      <c r="K10" s="38"/>
      <c r="L10" s="38" t="e">
        <f>IF(#REF!="Combined Sewer System",'2020 Rates'!J10*'Calculation Sheet (OLD)'!$L$6,0)</f>
        <v>#REF!</v>
      </c>
      <c r="O10" s="38"/>
      <c r="Q10" s="38"/>
    </row>
    <row r="11" spans="2:17" ht="26.5" outlineLevel="3" x14ac:dyDescent="0.35">
      <c r="B11" s="64" t="s">
        <v>97</v>
      </c>
      <c r="C11" s="25"/>
      <c r="D11" s="25"/>
      <c r="E11" s="25"/>
      <c r="F11" s="25"/>
      <c r="G11" s="25"/>
      <c r="H11" s="34"/>
      <c r="I11" s="48"/>
      <c r="J11" s="38" t="e">
        <f>IF(#REF!="Separated Sewer System",'2020 Rates'!#REF!*'Calculation Sheet (OLD)'!$J$6,0)</f>
        <v>#REF!</v>
      </c>
      <c r="K11" s="38"/>
      <c r="L11" s="38" t="e">
        <f>IF(#REF!="Separated Sewer System",'2020 Rates'!J11*'Calculation Sheet (OLD)'!$L$6,0)</f>
        <v>#REF!</v>
      </c>
      <c r="O11" s="38"/>
      <c r="Q11" s="38"/>
    </row>
    <row r="12" spans="2:17" outlineLevel="2" x14ac:dyDescent="0.35">
      <c r="B12" s="23" t="s">
        <v>50</v>
      </c>
      <c r="C12" s="25" t="e">
        <f>'2020 Rates'!C12*'Calculation Sheet (OLD)'!C$6</f>
        <v>#REF!</v>
      </c>
      <c r="D12" s="25" t="e">
        <f>'2020 Rates'!D12*'Calculation Sheet (OLD)'!D$6</f>
        <v>#REF!</v>
      </c>
      <c r="E12" s="25" t="e">
        <f>'2020 Rates'!E12*'Calculation Sheet (OLD)'!E$6</f>
        <v>#REF!</v>
      </c>
      <c r="F12" s="25" t="e">
        <f>'2020 Rates'!F12*'Calculation Sheet (OLD)'!F$6</f>
        <v>#REF!</v>
      </c>
      <c r="G12" s="25" t="e">
        <f>'2020 Rates'!G12*'Calculation Sheet (OLD)'!G$6</f>
        <v>#REF!</v>
      </c>
      <c r="H12" s="43"/>
      <c r="I12" s="47" t="e">
        <f>'2020 Rates'!H12*'Calculation Sheet (OLD)'!I$6</f>
        <v>#REF!</v>
      </c>
      <c r="M12" s="9" t="e">
        <f>'2020 Rates'!#REF!*'Calculation Sheet (OLD)'!M$6</f>
        <v>#REF!</v>
      </c>
      <c r="N12" s="9" t="e">
        <f>'2020 Rates'!#REF!*'Calculation Sheet (OLD)'!N$6</f>
        <v>#REF!</v>
      </c>
      <c r="O12" s="38" t="e">
        <f>'2020 Rates'!K12*'Calculation Sheet (OLD)'!O$6</f>
        <v>#REF!</v>
      </c>
      <c r="Q12" s="38" t="e">
        <f>'2020 Rates'!L12*'Calculation Sheet (OLD)'!Q$6</f>
        <v>#REF!</v>
      </c>
    </row>
    <row r="13" spans="2:17" outlineLevel="2" x14ac:dyDescent="0.35">
      <c r="B13" s="23" t="s">
        <v>36</v>
      </c>
      <c r="C13" s="25" t="e">
        <f>'2020 Rates'!C13*'Calculation Sheet (OLD)'!C$6</f>
        <v>#REF!</v>
      </c>
      <c r="D13" s="25" t="e">
        <f>'2020 Rates'!D13*'Calculation Sheet (OLD)'!D$6</f>
        <v>#REF!</v>
      </c>
      <c r="E13" s="25" t="e">
        <f>'2020 Rates'!E13*'Calculation Sheet (OLD)'!E$6</f>
        <v>#REF!</v>
      </c>
      <c r="F13" s="25" t="e">
        <f>'2020 Rates'!F13*'Calculation Sheet (OLD)'!F$6</f>
        <v>#REF!</v>
      </c>
      <c r="G13" s="25" t="e">
        <f>'2020 Rates'!G13*'Calculation Sheet (OLD)'!G$6</f>
        <v>#REF!</v>
      </c>
      <c r="H13" s="43"/>
      <c r="I13" s="47" t="e">
        <f>'2020 Rates'!H13*'Calculation Sheet (OLD)'!I$6</f>
        <v>#REF!</v>
      </c>
      <c r="M13" s="9" t="e">
        <f>'2020 Rates'!#REF!*'Calculation Sheet (OLD)'!M$6</f>
        <v>#REF!</v>
      </c>
      <c r="N13" s="9" t="e">
        <f>'2020 Rates'!#REF!*'Calculation Sheet (OLD)'!N$6</f>
        <v>#REF!</v>
      </c>
      <c r="O13" s="38" t="e">
        <f>'2020 Rates'!K13*'Calculation Sheet (OLD)'!O$6</f>
        <v>#REF!</v>
      </c>
      <c r="Q13" s="38" t="e">
        <f>'2020 Rates'!L13*'Calculation Sheet (OLD)'!Q$6</f>
        <v>#REF!</v>
      </c>
    </row>
    <row r="14" spans="2:17" outlineLevel="2" x14ac:dyDescent="0.35">
      <c r="B14" s="23" t="s">
        <v>37</v>
      </c>
      <c r="C14" s="25" t="e">
        <f>'2020 Rates'!C14*'Calculation Sheet (OLD)'!C$6</f>
        <v>#REF!</v>
      </c>
      <c r="D14" s="25" t="e">
        <f>'2020 Rates'!D14*'Calculation Sheet (OLD)'!D$6</f>
        <v>#REF!</v>
      </c>
      <c r="E14" s="25" t="e">
        <f>'2020 Rates'!E14*'Calculation Sheet (OLD)'!E$6</f>
        <v>#REF!</v>
      </c>
      <c r="F14" s="25" t="e">
        <f>'2020 Rates'!F14*'Calculation Sheet (OLD)'!F$6</f>
        <v>#REF!</v>
      </c>
      <c r="G14" s="25" t="e">
        <f>'2020 Rates'!G14*'Calculation Sheet (OLD)'!G$6</f>
        <v>#REF!</v>
      </c>
      <c r="H14" s="43"/>
      <c r="I14" s="48" t="e">
        <f>'2020 Rates'!H14*'Calculation Sheet (OLD)'!I$6</f>
        <v>#REF!</v>
      </c>
      <c r="M14" s="9" t="e">
        <f>'2020 Rates'!#REF!*'Calculation Sheet (OLD)'!M$6</f>
        <v>#REF!</v>
      </c>
      <c r="N14" s="9" t="e">
        <f>'2020 Rates'!#REF!*'Calculation Sheet (OLD)'!N$6</f>
        <v>#REF!</v>
      </c>
      <c r="O14" s="38" t="e">
        <f>'2020 Rates'!K14*'Calculation Sheet (OLD)'!O$6</f>
        <v>#REF!</v>
      </c>
      <c r="Q14" s="38" t="e">
        <f>'2020 Rates'!L14*'Calculation Sheet (OLD)'!Q$6</f>
        <v>#REF!</v>
      </c>
    </row>
    <row r="15" spans="2:17" outlineLevel="2" x14ac:dyDescent="0.35">
      <c r="B15" s="23" t="s">
        <v>38</v>
      </c>
      <c r="C15" s="25" t="e">
        <f>'2020 Rates'!C15*'Calculation Sheet (OLD)'!C$6</f>
        <v>#REF!</v>
      </c>
      <c r="D15" s="25" t="e">
        <f>'2020 Rates'!D15*'Calculation Sheet (OLD)'!D$6</f>
        <v>#REF!</v>
      </c>
      <c r="E15" s="25" t="e">
        <f>'2020 Rates'!E15*'Calculation Sheet (OLD)'!E$6</f>
        <v>#REF!</v>
      </c>
      <c r="F15" s="25" t="e">
        <f>'2020 Rates'!F15*'Calculation Sheet (OLD)'!F$6</f>
        <v>#REF!</v>
      </c>
      <c r="G15" s="25" t="e">
        <f>'2020 Rates'!G15*'Calculation Sheet (OLD)'!G$6</f>
        <v>#REF!</v>
      </c>
      <c r="H15" s="43"/>
      <c r="I15" s="48" t="e">
        <f>'2020 Rates'!H15*'Calculation Sheet (OLD)'!I$6</f>
        <v>#REF!</v>
      </c>
      <c r="M15" s="9" t="e">
        <f>'2020 Rates'!#REF!*'Calculation Sheet (OLD)'!M$6</f>
        <v>#REF!</v>
      </c>
      <c r="N15" s="9" t="e">
        <f>'2020 Rates'!#REF!*'Calculation Sheet (OLD)'!N$6</f>
        <v>#REF!</v>
      </c>
      <c r="O15" s="38" t="e">
        <f>'2020 Rates'!K15*'Calculation Sheet (OLD)'!O$6</f>
        <v>#REF!</v>
      </c>
      <c r="Q15" s="38" t="e">
        <f>'2020 Rates'!L15*'Calculation Sheet (OLD)'!Q$6</f>
        <v>#REF!</v>
      </c>
    </row>
    <row r="16" spans="2:17" outlineLevel="2" x14ac:dyDescent="0.35">
      <c r="B16" s="23" t="s">
        <v>39</v>
      </c>
      <c r="C16" s="25" t="e">
        <f>'2020 Rates'!C16*'Calculation Sheet (OLD)'!C$6</f>
        <v>#REF!</v>
      </c>
      <c r="D16" s="25" t="e">
        <f>'2020 Rates'!D16*'Calculation Sheet (OLD)'!D$6</f>
        <v>#REF!</v>
      </c>
      <c r="E16" s="25" t="e">
        <f>'2020 Rates'!E16*'Calculation Sheet (OLD)'!E$6</f>
        <v>#REF!</v>
      </c>
      <c r="F16" s="25" t="e">
        <f>'2020 Rates'!F16*'Calculation Sheet (OLD)'!F$6</f>
        <v>#REF!</v>
      </c>
      <c r="G16" s="25" t="e">
        <f>'2020 Rates'!G16*'Calculation Sheet (OLD)'!G$6</f>
        <v>#REF!</v>
      </c>
      <c r="H16" s="43"/>
      <c r="I16" s="48" t="e">
        <f>'2020 Rates'!H16*'Calculation Sheet (OLD)'!I$6</f>
        <v>#REF!</v>
      </c>
      <c r="M16" s="9" t="e">
        <f>'2020 Rates'!#REF!*'Calculation Sheet (OLD)'!M$6</f>
        <v>#REF!</v>
      </c>
      <c r="N16" s="9" t="e">
        <f>'2020 Rates'!#REF!*'Calculation Sheet (OLD)'!N$6</f>
        <v>#REF!</v>
      </c>
      <c r="O16" s="38" t="e">
        <f>'2020 Rates'!K16*'Calculation Sheet (OLD)'!O$6</f>
        <v>#REF!</v>
      </c>
      <c r="Q16" s="38" t="e">
        <f>'2020 Rates'!L16*'Calculation Sheet (OLD)'!Q$6</f>
        <v>#REF!</v>
      </c>
    </row>
    <row r="17" spans="2:17" outlineLevel="2" x14ac:dyDescent="0.35">
      <c r="B17" s="23" t="s">
        <v>40</v>
      </c>
      <c r="C17" s="25" t="e">
        <f>'2020 Rates'!C17*'Calculation Sheet (OLD)'!C$6</f>
        <v>#REF!</v>
      </c>
      <c r="D17" s="25" t="e">
        <f>'2020 Rates'!D17*'Calculation Sheet (OLD)'!D$6</f>
        <v>#REF!</v>
      </c>
      <c r="E17" s="25" t="e">
        <f>'2020 Rates'!E17*'Calculation Sheet (OLD)'!E$6</f>
        <v>#REF!</v>
      </c>
      <c r="F17" s="25" t="e">
        <f>'2020 Rates'!F17*'Calculation Sheet (OLD)'!F$6</f>
        <v>#REF!</v>
      </c>
      <c r="G17" s="25" t="e">
        <f>'2020 Rates'!G17*'Calculation Sheet (OLD)'!G$6</f>
        <v>#REF!</v>
      </c>
      <c r="H17" s="43"/>
      <c r="I17" s="48" t="e">
        <f>'2020 Rates'!H17*'Calculation Sheet (OLD)'!I$6</f>
        <v>#REF!</v>
      </c>
      <c r="M17" s="9" t="e">
        <f>'2020 Rates'!#REF!*'Calculation Sheet (OLD)'!M$6</f>
        <v>#REF!</v>
      </c>
      <c r="N17" s="9" t="e">
        <f>'2020 Rates'!#REF!*'Calculation Sheet (OLD)'!N$6</f>
        <v>#REF!</v>
      </c>
      <c r="O17" s="38" t="e">
        <f>'2020 Rates'!K17*'Calculation Sheet (OLD)'!O$6</f>
        <v>#REF!</v>
      </c>
      <c r="Q17" s="38" t="e">
        <f>'2020 Rates'!L17*'Calculation Sheet (OLD)'!Q$6</f>
        <v>#REF!</v>
      </c>
    </row>
    <row r="18" spans="2:17" outlineLevel="2" x14ac:dyDescent="0.35">
      <c r="B18" s="23" t="s">
        <v>41</v>
      </c>
      <c r="C18" s="25" t="e">
        <f>'2020 Rates'!C18*'Calculation Sheet (OLD)'!C$6</f>
        <v>#REF!</v>
      </c>
      <c r="D18" s="25" t="e">
        <f>'2020 Rates'!D18*'Calculation Sheet (OLD)'!D$6</f>
        <v>#REF!</v>
      </c>
      <c r="E18" s="25" t="e">
        <f>'2020 Rates'!E18*'Calculation Sheet (OLD)'!E$6</f>
        <v>#REF!</v>
      </c>
      <c r="F18" s="25" t="e">
        <f>'2020 Rates'!F18*'Calculation Sheet (OLD)'!F$6</f>
        <v>#REF!</v>
      </c>
      <c r="G18" s="25" t="e">
        <f>'2020 Rates'!G18*'Calculation Sheet (OLD)'!G$6</f>
        <v>#REF!</v>
      </c>
      <c r="H18" s="43"/>
      <c r="I18" s="48" t="e">
        <f>'2020 Rates'!H18*'Calculation Sheet (OLD)'!I$6</f>
        <v>#REF!</v>
      </c>
      <c r="M18" s="9" t="e">
        <f>'2020 Rates'!#REF!*'Calculation Sheet (OLD)'!M$6</f>
        <v>#REF!</v>
      </c>
      <c r="N18" s="9" t="e">
        <f>'2020 Rates'!#REF!*'Calculation Sheet (OLD)'!N$6</f>
        <v>#REF!</v>
      </c>
      <c r="O18" s="38" t="e">
        <f>'2020 Rates'!K18*'Calculation Sheet (OLD)'!O$6</f>
        <v>#REF!</v>
      </c>
      <c r="Q18" s="38" t="e">
        <f>'2020 Rates'!L18*'Calculation Sheet (OLD)'!Q$6</f>
        <v>#REF!</v>
      </c>
    </row>
    <row r="19" spans="2:17" outlineLevel="2" x14ac:dyDescent="0.35">
      <c r="B19" s="23" t="s">
        <v>42</v>
      </c>
      <c r="C19" s="25" t="e">
        <f>'2020 Rates'!C19*'Calculation Sheet (OLD)'!C$6</f>
        <v>#REF!</v>
      </c>
      <c r="D19" s="25" t="e">
        <f>'2020 Rates'!D19*'Calculation Sheet (OLD)'!D$6</f>
        <v>#REF!</v>
      </c>
      <c r="E19" s="25" t="e">
        <f>'2020 Rates'!E19*'Calculation Sheet (OLD)'!E$6</f>
        <v>#REF!</v>
      </c>
      <c r="F19" s="25" t="e">
        <f>'2020 Rates'!F19*'Calculation Sheet (OLD)'!F$6</f>
        <v>#REF!</v>
      </c>
      <c r="G19" s="25" t="e">
        <f>'2020 Rates'!G19*'Calculation Sheet (OLD)'!G$6</f>
        <v>#REF!</v>
      </c>
      <c r="H19" s="43"/>
      <c r="I19" s="48" t="e">
        <f>'2020 Rates'!H19*'Calculation Sheet (OLD)'!I$6</f>
        <v>#REF!</v>
      </c>
      <c r="M19" s="9" t="e">
        <f>'2020 Rates'!#REF!*'Calculation Sheet (OLD)'!M$6</f>
        <v>#REF!</v>
      </c>
      <c r="N19" s="9" t="e">
        <f>'2020 Rates'!#REF!*'Calculation Sheet (OLD)'!N$6</f>
        <v>#REF!</v>
      </c>
      <c r="O19" s="38" t="e">
        <f>'2020 Rates'!K19*'Calculation Sheet (OLD)'!O$6</f>
        <v>#REF!</v>
      </c>
      <c r="Q19" s="38" t="e">
        <f>'2020 Rates'!L19*'Calculation Sheet (OLD)'!Q$6</f>
        <v>#REF!</v>
      </c>
    </row>
    <row r="20" spans="2:17" outlineLevel="2" x14ac:dyDescent="0.35">
      <c r="B20" s="23" t="s">
        <v>43</v>
      </c>
      <c r="C20" s="25" t="e">
        <f>'2020 Rates'!C21*'Calculation Sheet (OLD)'!C$6</f>
        <v>#REF!</v>
      </c>
      <c r="D20" s="25" t="e">
        <f>'2020 Rates'!D21*'Calculation Sheet (OLD)'!D$6</f>
        <v>#REF!</v>
      </c>
      <c r="E20" s="25" t="e">
        <f>'2020 Rates'!E21*'Calculation Sheet (OLD)'!E$6</f>
        <v>#REF!</v>
      </c>
      <c r="F20" s="25" t="e">
        <f>'2020 Rates'!F21*'Calculation Sheet (OLD)'!F$6</f>
        <v>#REF!</v>
      </c>
      <c r="G20" s="25" t="e">
        <f>'2020 Rates'!G21*'Calculation Sheet (OLD)'!G$6</f>
        <v>#REF!</v>
      </c>
      <c r="H20" s="43"/>
      <c r="I20" s="48" t="e">
        <f>'2020 Rates'!H21*'Calculation Sheet (OLD)'!I$6</f>
        <v>#REF!</v>
      </c>
      <c r="M20" s="9" t="e">
        <f>'2020 Rates'!#REF!*'Calculation Sheet (OLD)'!M$6</f>
        <v>#REF!</v>
      </c>
      <c r="N20" s="9" t="e">
        <f>'2020 Rates'!#REF!*'Calculation Sheet (OLD)'!N$6</f>
        <v>#REF!</v>
      </c>
      <c r="O20" s="38" t="e">
        <f>'2020 Rates'!K21*'Calculation Sheet (OLD)'!O$6</f>
        <v>#REF!</v>
      </c>
      <c r="Q20" s="38" t="e">
        <f>'2020 Rates'!L21*'Calculation Sheet (OLD)'!Q$6</f>
        <v>#REF!</v>
      </c>
    </row>
    <row r="21" spans="2:17" outlineLevel="2" x14ac:dyDescent="0.35">
      <c r="B21" s="23" t="s">
        <v>44</v>
      </c>
      <c r="C21" s="25" t="e">
        <f>'2020 Rates'!C22*'Calculation Sheet (OLD)'!C$6</f>
        <v>#REF!</v>
      </c>
      <c r="D21" s="25" t="e">
        <f>'2020 Rates'!D22*'Calculation Sheet (OLD)'!D$6</f>
        <v>#REF!</v>
      </c>
      <c r="E21" s="25" t="e">
        <f>'2020 Rates'!E22*'Calculation Sheet (OLD)'!E$6</f>
        <v>#REF!</v>
      </c>
      <c r="F21" s="25" t="e">
        <f>'2020 Rates'!F22*'Calculation Sheet (OLD)'!F$6</f>
        <v>#REF!</v>
      </c>
      <c r="G21" s="25" t="e">
        <f>'2020 Rates'!G22*'Calculation Sheet (OLD)'!G$6</f>
        <v>#REF!</v>
      </c>
      <c r="H21" s="43"/>
      <c r="I21" s="48" t="e">
        <f>'2020 Rates'!H22*'Calculation Sheet (OLD)'!I$6</f>
        <v>#REF!</v>
      </c>
      <c r="M21" s="9" t="e">
        <f>'2020 Rates'!#REF!*'Calculation Sheet (OLD)'!M$6</f>
        <v>#REF!</v>
      </c>
      <c r="N21" s="9" t="e">
        <f>'2020 Rates'!#REF!*'Calculation Sheet (OLD)'!N$6</f>
        <v>#REF!</v>
      </c>
      <c r="O21" s="38" t="e">
        <f>'2020 Rates'!K22*'Calculation Sheet (OLD)'!O$6</f>
        <v>#REF!</v>
      </c>
      <c r="Q21" s="38" t="e">
        <f>'2020 Rates'!L22*'Calculation Sheet (OLD)'!Q$6</f>
        <v>#REF!</v>
      </c>
    </row>
    <row r="22" spans="2:17" outlineLevel="2" x14ac:dyDescent="0.35">
      <c r="B22" s="23" t="s">
        <v>45</v>
      </c>
      <c r="C22" s="25" t="e">
        <f>'2020 Rates'!C23*'Calculation Sheet (OLD)'!C$6</f>
        <v>#REF!</v>
      </c>
      <c r="D22" s="25" t="e">
        <f>'2020 Rates'!D23*'Calculation Sheet (OLD)'!D$6</f>
        <v>#REF!</v>
      </c>
      <c r="E22" s="25" t="e">
        <f>'2020 Rates'!E23*'Calculation Sheet (OLD)'!E$6</f>
        <v>#REF!</v>
      </c>
      <c r="F22" s="25" t="e">
        <f>'2020 Rates'!F23*'Calculation Sheet (OLD)'!F$6</f>
        <v>#REF!</v>
      </c>
      <c r="G22" s="25" t="e">
        <f>'2020 Rates'!G23*'Calculation Sheet (OLD)'!G$6</f>
        <v>#REF!</v>
      </c>
      <c r="H22" s="43"/>
      <c r="I22" s="48" t="e">
        <f>'2020 Rates'!H23*'Calculation Sheet (OLD)'!I$6</f>
        <v>#REF!</v>
      </c>
      <c r="M22" s="9" t="e">
        <f>'2020 Rates'!#REF!*'Calculation Sheet (OLD)'!M$6</f>
        <v>#REF!</v>
      </c>
      <c r="N22" s="9" t="e">
        <f>'2020 Rates'!#REF!*'Calculation Sheet (OLD)'!N$6</f>
        <v>#REF!</v>
      </c>
      <c r="O22" s="38" t="e">
        <f>'2020 Rates'!K23*'Calculation Sheet (OLD)'!O$6</f>
        <v>#REF!</v>
      </c>
      <c r="Q22" s="38" t="e">
        <f>'2020 Rates'!L23*'Calculation Sheet (OLD)'!Q$6</f>
        <v>#REF!</v>
      </c>
    </row>
    <row r="23" spans="2:17" outlineLevel="2" x14ac:dyDescent="0.35">
      <c r="B23" s="23" t="s">
        <v>46</v>
      </c>
      <c r="C23" s="25" t="e">
        <f>'2020 Rates'!C24*'Calculation Sheet (OLD)'!C$6</f>
        <v>#REF!</v>
      </c>
      <c r="D23" s="25" t="e">
        <f>'2020 Rates'!D24*'Calculation Sheet (OLD)'!D$6</f>
        <v>#REF!</v>
      </c>
      <c r="E23" s="25" t="e">
        <f>'2020 Rates'!E24*'Calculation Sheet (OLD)'!E$6</f>
        <v>#REF!</v>
      </c>
      <c r="F23" s="25" t="e">
        <f>'2020 Rates'!F24*'Calculation Sheet (OLD)'!F$6</f>
        <v>#REF!</v>
      </c>
      <c r="G23" s="25" t="e">
        <f>'2020 Rates'!G24*'Calculation Sheet (OLD)'!G$6</f>
        <v>#REF!</v>
      </c>
      <c r="H23" s="43"/>
      <c r="I23" s="48" t="e">
        <f>'2020 Rates'!H24*'Calculation Sheet (OLD)'!I$6</f>
        <v>#REF!</v>
      </c>
      <c r="M23" s="9" t="e">
        <f>'2020 Rates'!#REF!*'Calculation Sheet (OLD)'!M$6</f>
        <v>#REF!</v>
      </c>
      <c r="N23" s="9" t="e">
        <f>'2020 Rates'!#REF!*'Calculation Sheet (OLD)'!N$6</f>
        <v>#REF!</v>
      </c>
      <c r="O23" s="38" t="e">
        <f>'2020 Rates'!K24*'Calculation Sheet (OLD)'!O$6</f>
        <v>#REF!</v>
      </c>
      <c r="Q23" s="38" t="e">
        <f>'2020 Rates'!L24*'Calculation Sheet (OLD)'!Q$6</f>
        <v>#REF!</v>
      </c>
    </row>
    <row r="24" spans="2:17" outlineLevel="2" x14ac:dyDescent="0.35">
      <c r="B24" s="23" t="s">
        <v>47</v>
      </c>
      <c r="C24" s="25" t="e">
        <f>'2020 Rates'!C25*'Calculation Sheet (OLD)'!C$6</f>
        <v>#REF!</v>
      </c>
      <c r="D24" s="25" t="e">
        <f>'2020 Rates'!D25*'Calculation Sheet (OLD)'!D$6</f>
        <v>#REF!</v>
      </c>
      <c r="E24" s="25" t="e">
        <f>'2020 Rates'!E25*'Calculation Sheet (OLD)'!E$6</f>
        <v>#REF!</v>
      </c>
      <c r="F24" s="25" t="e">
        <f>'2020 Rates'!F25*'Calculation Sheet (OLD)'!F$6</f>
        <v>#REF!</v>
      </c>
      <c r="G24" s="25" t="e">
        <f>'2020 Rates'!G25*'Calculation Sheet (OLD)'!G$6</f>
        <v>#REF!</v>
      </c>
      <c r="H24" s="43"/>
      <c r="I24" s="48" t="e">
        <f>'2020 Rates'!H25*'Calculation Sheet (OLD)'!I$6</f>
        <v>#REF!</v>
      </c>
      <c r="M24" s="9" t="e">
        <f>'2020 Rates'!#REF!*'Calculation Sheet (OLD)'!M$6</f>
        <v>#REF!</v>
      </c>
      <c r="N24" s="9" t="e">
        <f>'2020 Rates'!#REF!*'Calculation Sheet (OLD)'!N$6</f>
        <v>#REF!</v>
      </c>
      <c r="O24" s="38" t="e">
        <f>'2020 Rates'!K25*'Calculation Sheet (OLD)'!O$6</f>
        <v>#REF!</v>
      </c>
      <c r="Q24" s="38" t="e">
        <f>'2020 Rates'!L25*'Calculation Sheet (OLD)'!Q$6</f>
        <v>#REF!</v>
      </c>
    </row>
    <row r="25" spans="2:17" outlineLevel="2" x14ac:dyDescent="0.35">
      <c r="B25" s="23" t="s">
        <v>48</v>
      </c>
      <c r="C25" s="25" t="e">
        <f>'2020 Rates'!C26*'Calculation Sheet (OLD)'!C$6</f>
        <v>#REF!</v>
      </c>
      <c r="D25" s="25" t="e">
        <f>'2020 Rates'!D26*'Calculation Sheet (OLD)'!D$6</f>
        <v>#REF!</v>
      </c>
      <c r="E25" s="25" t="e">
        <f>'2020 Rates'!E26*'Calculation Sheet (OLD)'!E$6</f>
        <v>#REF!</v>
      </c>
      <c r="F25" s="25" t="e">
        <f>'2020 Rates'!F26*'Calculation Sheet (OLD)'!F$6</f>
        <v>#REF!</v>
      </c>
      <c r="G25" s="25" t="e">
        <f>'2020 Rates'!G26*'Calculation Sheet (OLD)'!G$6</f>
        <v>#REF!</v>
      </c>
      <c r="H25" s="43"/>
      <c r="I25" s="48" t="e">
        <f>'2020 Rates'!H26*'Calculation Sheet (OLD)'!I$6</f>
        <v>#REF!</v>
      </c>
      <c r="M25" s="9" t="e">
        <f>'2020 Rates'!#REF!*'Calculation Sheet (OLD)'!M$6</f>
        <v>#REF!</v>
      </c>
      <c r="N25" s="9" t="e">
        <f>'2020 Rates'!#REF!*'Calculation Sheet (OLD)'!N$6</f>
        <v>#REF!</v>
      </c>
      <c r="O25" s="38" t="e">
        <f>'2020 Rates'!K26*'Calculation Sheet (OLD)'!O$6</f>
        <v>#REF!</v>
      </c>
      <c r="Q25" s="38" t="e">
        <f>'2020 Rates'!L26*'Calculation Sheet (OLD)'!Q$6</f>
        <v>#REF!</v>
      </c>
    </row>
    <row r="26" spans="2:17" outlineLevel="2" x14ac:dyDescent="0.35">
      <c r="B26" s="23" t="s">
        <v>49</v>
      </c>
      <c r="C26" s="25" t="e">
        <f>'2020 Rates'!C27*'Calculation Sheet (OLD)'!C$6</f>
        <v>#REF!</v>
      </c>
      <c r="D26" s="25" t="e">
        <f>'2020 Rates'!D27*'Calculation Sheet (OLD)'!D$6</f>
        <v>#REF!</v>
      </c>
      <c r="E26" s="25" t="e">
        <f>'2020 Rates'!E27*'Calculation Sheet (OLD)'!E$6</f>
        <v>#REF!</v>
      </c>
      <c r="F26" s="25" t="e">
        <f>'2020 Rates'!F27*'Calculation Sheet (OLD)'!F$6</f>
        <v>#REF!</v>
      </c>
      <c r="G26" s="25" t="e">
        <f>'2020 Rates'!G27*'Calculation Sheet (OLD)'!G$6</f>
        <v>#REF!</v>
      </c>
      <c r="H26" s="43"/>
      <c r="I26" s="48" t="e">
        <f>'2020 Rates'!H27*'Calculation Sheet (OLD)'!I$6</f>
        <v>#REF!</v>
      </c>
      <c r="M26" s="9" t="e">
        <f>'2020 Rates'!#REF!*'Calculation Sheet (OLD)'!M$6</f>
        <v>#REF!</v>
      </c>
      <c r="N26" s="9" t="e">
        <f>'2020 Rates'!#REF!*'Calculation Sheet (OLD)'!N$6</f>
        <v>#REF!</v>
      </c>
      <c r="O26" s="38" t="e">
        <f>'2020 Rates'!K27*'Calculation Sheet (OLD)'!O$6</f>
        <v>#REF!</v>
      </c>
      <c r="Q26" s="38" t="e">
        <f>'2020 Rates'!L27*'Calculation Sheet (OLD)'!Q$6</f>
        <v>#REF!</v>
      </c>
    </row>
    <row r="27" spans="2:17" outlineLevel="2" x14ac:dyDescent="0.35">
      <c r="B27" s="23" t="s">
        <v>52</v>
      </c>
      <c r="C27" s="25" t="e">
        <f>'2020 Rates'!C28*'Calculation Sheet (OLD)'!C$6</f>
        <v>#REF!</v>
      </c>
      <c r="D27" s="25" t="e">
        <f>'2020 Rates'!D28*'Calculation Sheet (OLD)'!D$6</f>
        <v>#REF!</v>
      </c>
      <c r="E27" s="25" t="e">
        <f>'2020 Rates'!E28*'Calculation Sheet (OLD)'!E$6</f>
        <v>#REF!</v>
      </c>
      <c r="F27" s="25" t="e">
        <f>'2020 Rates'!F28*'Calculation Sheet (OLD)'!F$6</f>
        <v>#REF!</v>
      </c>
      <c r="G27" s="25" t="e">
        <f>'2020 Rates'!G28*'Calculation Sheet (OLD)'!G$6</f>
        <v>#REF!</v>
      </c>
      <c r="H27" s="43"/>
      <c r="I27" s="48" t="e">
        <f>'2020 Rates'!H28*'Calculation Sheet (OLD)'!I$6</f>
        <v>#REF!</v>
      </c>
      <c r="M27" s="9" t="e">
        <f>'2020 Rates'!#REF!*'Calculation Sheet (OLD)'!M$6</f>
        <v>#REF!</v>
      </c>
      <c r="N27" s="9" t="e">
        <f>'2020 Rates'!#REF!*'Calculation Sheet (OLD)'!N$6</f>
        <v>#REF!</v>
      </c>
      <c r="O27" s="38" t="e">
        <f>'2020 Rates'!K28*'Calculation Sheet (OLD)'!O$6</f>
        <v>#REF!</v>
      </c>
      <c r="Q27" s="38" t="e">
        <f>'2020 Rates'!L28*'Calculation Sheet (OLD)'!Q$6</f>
        <v>#REF!</v>
      </c>
    </row>
    <row r="28" spans="2:17" outlineLevel="2" x14ac:dyDescent="0.35">
      <c r="B28" s="23" t="s">
        <v>51</v>
      </c>
      <c r="C28" s="25" t="e">
        <f>'2020 Rates'!C29*'Calculation Sheet (OLD)'!C$6</f>
        <v>#REF!</v>
      </c>
      <c r="D28" s="25" t="e">
        <f>'2020 Rates'!D29*'Calculation Sheet (OLD)'!D$6</f>
        <v>#REF!</v>
      </c>
      <c r="E28" s="25" t="e">
        <f>'2020 Rates'!E29*'Calculation Sheet (OLD)'!E$6</f>
        <v>#REF!</v>
      </c>
      <c r="F28" s="25" t="e">
        <f>'2020 Rates'!F29*'Calculation Sheet (OLD)'!F$6</f>
        <v>#REF!</v>
      </c>
      <c r="G28" s="25" t="e">
        <f>'2020 Rates'!G29*'Calculation Sheet (OLD)'!G$6</f>
        <v>#REF!</v>
      </c>
      <c r="H28" s="43"/>
      <c r="I28" s="48" t="e">
        <f>'2020 Rates'!H29*'Calculation Sheet (OLD)'!I$6</f>
        <v>#REF!</v>
      </c>
      <c r="M28" s="9" t="e">
        <f>'2020 Rates'!#REF!*'Calculation Sheet (OLD)'!M$6</f>
        <v>#REF!</v>
      </c>
      <c r="N28" s="9" t="e">
        <f>'2020 Rates'!#REF!*'Calculation Sheet (OLD)'!N$6</f>
        <v>#REF!</v>
      </c>
      <c r="O28" s="38" t="e">
        <f>'2020 Rates'!K29*'Calculation Sheet (OLD)'!O$6</f>
        <v>#REF!</v>
      </c>
      <c r="Q28" s="38" t="e">
        <f>'2020 Rates'!L29*'Calculation Sheet (OLD)'!Q$6</f>
        <v>#REF!</v>
      </c>
    </row>
    <row r="29" spans="2:17" outlineLevel="1" x14ac:dyDescent="0.35">
      <c r="B29" s="15"/>
      <c r="C29" s="25"/>
      <c r="D29" s="25"/>
      <c r="E29" s="25"/>
      <c r="F29" s="25"/>
      <c r="G29" s="25"/>
      <c r="H29" s="32"/>
      <c r="I29" s="45"/>
    </row>
    <row r="30" spans="2:17" s="4" customFormat="1" x14ac:dyDescent="0.35">
      <c r="B30" s="26" t="s">
        <v>57</v>
      </c>
      <c r="C30" s="27" t="e">
        <f>SUM(C31:C34)</f>
        <v>#REF!</v>
      </c>
      <c r="D30" s="27" t="e">
        <f>SUM(D31:D34)</f>
        <v>#REF!</v>
      </c>
      <c r="E30" s="27" t="e">
        <f>SUM(E31:E34)</f>
        <v>#REF!</v>
      </c>
      <c r="F30" s="27" t="e">
        <f>SUM(F31:F34)</f>
        <v>#REF!</v>
      </c>
      <c r="G30" s="27" t="e">
        <f>SUM(G31:G34)</f>
        <v>#REF!</v>
      </c>
      <c r="H30" s="51" t="s">
        <v>79</v>
      </c>
      <c r="I30" s="49" t="e">
        <f t="shared" ref="I30:Q30" si="2">SUM(I31:I34)</f>
        <v>#REF!</v>
      </c>
      <c r="J30" s="39" t="e">
        <f>SUM(J31:J34)</f>
        <v>#REF!</v>
      </c>
      <c r="K30" s="39">
        <f t="shared" si="2"/>
        <v>0</v>
      </c>
      <c r="L30" s="39" t="e">
        <f t="shared" si="2"/>
        <v>#REF!</v>
      </c>
      <c r="M30" s="39" t="e">
        <f t="shared" si="2"/>
        <v>#REF!</v>
      </c>
      <c r="N30" s="39" t="e">
        <f t="shared" si="2"/>
        <v>#REF!</v>
      </c>
      <c r="O30" s="39" t="e">
        <f t="shared" si="2"/>
        <v>#REF!</v>
      </c>
      <c r="P30" s="39">
        <f t="shared" si="2"/>
        <v>0</v>
      </c>
      <c r="Q30" s="39" t="e">
        <f t="shared" si="2"/>
        <v>#REF!</v>
      </c>
    </row>
    <row r="31" spans="2:17" outlineLevel="1" x14ac:dyDescent="0.35">
      <c r="B31" s="23" t="s">
        <v>53</v>
      </c>
      <c r="C31" s="25" t="e">
        <f>'2020 Rates'!C34*'Calculation Sheet (OLD)'!C$6</f>
        <v>#REF!</v>
      </c>
      <c r="D31" s="25" t="e">
        <f>'2020 Rates'!D34*'Calculation Sheet (OLD)'!D$6</f>
        <v>#REF!</v>
      </c>
      <c r="E31" s="25" t="e">
        <f>'2020 Rates'!E34*'Calculation Sheet (OLD)'!E$6</f>
        <v>#REF!</v>
      </c>
      <c r="F31" s="25" t="e">
        <f>'2020 Rates'!F34*'Calculation Sheet (OLD)'!F$6</f>
        <v>#REF!</v>
      </c>
      <c r="G31" s="25" t="e">
        <f>'2020 Rates'!G34*'Calculation Sheet (OLD)'!G$6</f>
        <v>#REF!</v>
      </c>
      <c r="H31" s="43"/>
      <c r="I31" s="48" t="e">
        <f>'2020 Rates'!H34*'Calculation Sheet (OLD)'!I$6</f>
        <v>#REF!</v>
      </c>
      <c r="J31" s="40" t="s">
        <v>79</v>
      </c>
      <c r="K31" s="38"/>
      <c r="L31" s="40" t="s">
        <v>79</v>
      </c>
      <c r="M31" s="9" t="e">
        <f>'2020 Rates'!#REF!*'Calculation Sheet (OLD)'!M$6</f>
        <v>#REF!</v>
      </c>
      <c r="N31" s="9" t="e">
        <f>'2020 Rates'!#REF!*'Calculation Sheet (OLD)'!N$6</f>
        <v>#REF!</v>
      </c>
      <c r="O31" s="38" t="e">
        <f>'2020 Rates'!K34*'Calculation Sheet (OLD)'!O$6</f>
        <v>#REF!</v>
      </c>
      <c r="Q31" s="38" t="e">
        <f>'2020 Rates'!L34*'Calculation Sheet (OLD)'!Q$6</f>
        <v>#REF!</v>
      </c>
    </row>
    <row r="32" spans="2:17" outlineLevel="1" x14ac:dyDescent="0.35">
      <c r="B32" s="23" t="s">
        <v>54</v>
      </c>
      <c r="C32" s="25" t="e">
        <f>'2020 Rates'!C35*'Calculation Sheet (OLD)'!C$6</f>
        <v>#REF!</v>
      </c>
      <c r="D32" s="25" t="e">
        <f>'2020 Rates'!D35*'Calculation Sheet (OLD)'!D$6</f>
        <v>#REF!</v>
      </c>
      <c r="E32" s="25" t="e">
        <f>'2020 Rates'!E35*'Calculation Sheet (OLD)'!E$6</f>
        <v>#REF!</v>
      </c>
      <c r="F32" s="25" t="e">
        <f>'2020 Rates'!F35*'Calculation Sheet (OLD)'!F$6</f>
        <v>#REF!</v>
      </c>
      <c r="G32" s="25" t="e">
        <f>'2020 Rates'!G35*'Calculation Sheet (OLD)'!G$6</f>
        <v>#REF!</v>
      </c>
      <c r="H32" s="43"/>
      <c r="I32" s="48" t="e">
        <f>'2020 Rates'!H35*'Calculation Sheet (OLD)'!I$6</f>
        <v>#REF!</v>
      </c>
      <c r="J32" s="38" t="e">
        <f>'2020 Rates'!I35*'Calculation Sheet (OLD)'!J$6</f>
        <v>#REF!</v>
      </c>
      <c r="K32" s="38"/>
      <c r="L32" s="38" t="e">
        <f>'2020 Rates'!J35*'Calculation Sheet (OLD)'!L$6</f>
        <v>#REF!</v>
      </c>
      <c r="M32" s="9" t="e">
        <f>'2020 Rates'!#REF!*'Calculation Sheet (OLD)'!M$6</f>
        <v>#REF!</v>
      </c>
      <c r="N32" s="9" t="e">
        <f>'2020 Rates'!#REF!*'Calculation Sheet (OLD)'!N$6</f>
        <v>#REF!</v>
      </c>
      <c r="O32" s="38" t="e">
        <f>'2020 Rates'!K35*'Calculation Sheet (OLD)'!O$6</f>
        <v>#REF!</v>
      </c>
      <c r="Q32" s="38" t="e">
        <f>'2020 Rates'!L35*'Calculation Sheet (OLD)'!Q$6</f>
        <v>#REF!</v>
      </c>
    </row>
    <row r="33" spans="2:17" outlineLevel="1" x14ac:dyDescent="0.35">
      <c r="B33" s="23" t="s">
        <v>55</v>
      </c>
      <c r="C33" s="25" t="e">
        <f>'2020 Rates'!C36*'Calculation Sheet (OLD)'!C$6</f>
        <v>#REF!</v>
      </c>
      <c r="D33" s="25" t="e">
        <f>'2020 Rates'!D36*'Calculation Sheet (OLD)'!D$6</f>
        <v>#REF!</v>
      </c>
      <c r="E33" s="25" t="e">
        <f>'2020 Rates'!E36*'Calculation Sheet (OLD)'!E$6</f>
        <v>#REF!</v>
      </c>
      <c r="F33" s="25" t="e">
        <f>'2020 Rates'!F36*'Calculation Sheet (OLD)'!F$6</f>
        <v>#REF!</v>
      </c>
      <c r="G33" s="25" t="e">
        <f>'2020 Rates'!G36*'Calculation Sheet (OLD)'!G$6</f>
        <v>#REF!</v>
      </c>
      <c r="H33" s="43"/>
      <c r="I33" s="48" t="e">
        <f>'2020 Rates'!H36*'Calculation Sheet (OLD)'!I$6</f>
        <v>#REF!</v>
      </c>
      <c r="J33" s="38" t="e">
        <f>'2020 Rates'!I36*'Calculation Sheet (OLD)'!J$6</f>
        <v>#REF!</v>
      </c>
      <c r="K33" s="38"/>
      <c r="L33" s="38" t="e">
        <f>'2020 Rates'!J36*'Calculation Sheet (OLD)'!L$6</f>
        <v>#REF!</v>
      </c>
      <c r="M33" s="9" t="e">
        <f>'2020 Rates'!#REF!*'Calculation Sheet (OLD)'!M$6</f>
        <v>#REF!</v>
      </c>
      <c r="N33" s="9" t="e">
        <f>'2020 Rates'!#REF!*'Calculation Sheet (OLD)'!N$6</f>
        <v>#REF!</v>
      </c>
      <c r="O33" s="38" t="e">
        <f>'2020 Rates'!K36*'Calculation Sheet (OLD)'!O$6</f>
        <v>#REF!</v>
      </c>
      <c r="Q33" s="38" t="e">
        <f>'2020 Rates'!L36*'Calculation Sheet (OLD)'!Q$6</f>
        <v>#REF!</v>
      </c>
    </row>
    <row r="34" spans="2:17" ht="29" outlineLevel="1" x14ac:dyDescent="0.35">
      <c r="B34" s="65" t="s">
        <v>59</v>
      </c>
      <c r="C34" s="25" t="e">
        <f>'2020 Rates'!C38*'Calculation Sheet (OLD)'!C$6</f>
        <v>#REF!</v>
      </c>
      <c r="D34" s="25" t="e">
        <f>'2020 Rates'!D38*'Calculation Sheet (OLD)'!D$6</f>
        <v>#REF!</v>
      </c>
      <c r="E34" s="25" t="e">
        <f>'2020 Rates'!E38*'Calculation Sheet (OLD)'!E$6</f>
        <v>#REF!</v>
      </c>
      <c r="F34" s="25" t="e">
        <f>'2020 Rates'!F38*'Calculation Sheet (OLD)'!F$6</f>
        <v>#REF!</v>
      </c>
      <c r="G34" s="25" t="e">
        <f>'2020 Rates'!G38*'Calculation Sheet (OLD)'!G$6</f>
        <v>#REF!</v>
      </c>
      <c r="H34" s="43"/>
      <c r="I34" s="78" t="e">
        <f>'2020 Rates'!H38*'Calculation Sheet (OLD)'!I$6</f>
        <v>#REF!</v>
      </c>
      <c r="J34" s="38" t="e">
        <f>'2020 Rates'!I38*'Calculation Sheet (OLD)'!J$6</f>
        <v>#REF!</v>
      </c>
      <c r="K34" s="38"/>
      <c r="L34" s="38" t="e">
        <f>'2020 Rates'!J38*'Calculation Sheet (OLD)'!L$6</f>
        <v>#REF!</v>
      </c>
      <c r="M34" s="9" t="e">
        <f>'2020 Rates'!#REF!*'Calculation Sheet (OLD)'!M$6</f>
        <v>#REF!</v>
      </c>
      <c r="N34" s="9" t="e">
        <f>'2020 Rates'!#REF!*'Calculation Sheet (OLD)'!N$6</f>
        <v>#REF!</v>
      </c>
      <c r="O34" s="38" t="e">
        <f>'2020 Rates'!K38*'Calculation Sheet (OLD)'!O$6</f>
        <v>#REF!</v>
      </c>
      <c r="Q34" s="38" t="e">
        <f>'2020 Rates'!L38*'Calculation Sheet (OLD)'!Q$6</f>
        <v>#REF!</v>
      </c>
    </row>
    <row r="35" spans="2:17" x14ac:dyDescent="0.35">
      <c r="B35" s="24"/>
      <c r="C35" s="25"/>
      <c r="D35" s="25"/>
      <c r="E35" s="25"/>
      <c r="F35" s="25"/>
      <c r="G35" s="25"/>
      <c r="H35" s="32"/>
      <c r="I35" s="45"/>
    </row>
    <row r="36" spans="2:17" s="4" customFormat="1" x14ac:dyDescent="0.35">
      <c r="B36" s="26" t="s">
        <v>58</v>
      </c>
      <c r="C36" s="27" t="e">
        <f>SUM(C37:C40)</f>
        <v>#REF!</v>
      </c>
      <c r="D36" s="27" t="e">
        <f>SUM(D37:D40)</f>
        <v>#REF!</v>
      </c>
      <c r="E36" s="27" t="e">
        <f>SUM(E37:E40)</f>
        <v>#REF!</v>
      </c>
      <c r="F36" s="27" t="e">
        <f>SUM(F37:F40)</f>
        <v>#REF!</v>
      </c>
      <c r="G36" s="27" t="e">
        <f>SUM(G37:G40)</f>
        <v>#REF!</v>
      </c>
      <c r="H36" s="51" t="s">
        <v>79</v>
      </c>
      <c r="I36" s="49" t="e">
        <f t="shared" ref="I36:Q36" si="3">SUM(I37:I40)</f>
        <v>#REF!</v>
      </c>
      <c r="J36" s="39" t="e">
        <f>SUM(J37:J40)</f>
        <v>#REF!</v>
      </c>
      <c r="K36" s="39">
        <f t="shared" si="3"/>
        <v>0</v>
      </c>
      <c r="L36" s="39" t="e">
        <f t="shared" si="3"/>
        <v>#REF!</v>
      </c>
      <c r="M36" s="39" t="e">
        <f t="shared" si="3"/>
        <v>#REF!</v>
      </c>
      <c r="N36" s="39" t="e">
        <f t="shared" si="3"/>
        <v>#REF!</v>
      </c>
      <c r="O36" s="39" t="e">
        <f t="shared" si="3"/>
        <v>#REF!</v>
      </c>
      <c r="P36" s="39">
        <f t="shared" si="3"/>
        <v>0</v>
      </c>
      <c r="Q36" s="39" t="e">
        <f t="shared" si="3"/>
        <v>#REF!</v>
      </c>
    </row>
    <row r="37" spans="2:17" outlineLevel="1" x14ac:dyDescent="0.35">
      <c r="B37" s="23" t="s">
        <v>53</v>
      </c>
      <c r="C37" s="25" t="e">
        <f>'2020 Rates'!#REF!*'Calculation Sheet (OLD)'!C$6</f>
        <v>#REF!</v>
      </c>
      <c r="D37" s="25" t="e">
        <f>'2020 Rates'!#REF!*'Calculation Sheet (OLD)'!D$6</f>
        <v>#REF!</v>
      </c>
      <c r="E37" s="25" t="e">
        <f>'2020 Rates'!#REF!*'Calculation Sheet (OLD)'!E$6</f>
        <v>#REF!</v>
      </c>
      <c r="F37" s="25" t="e">
        <f>'2020 Rates'!#REF!*'Calculation Sheet (OLD)'!F$6</f>
        <v>#REF!</v>
      </c>
      <c r="G37" s="25" t="e">
        <f>'2020 Rates'!#REF!*'Calculation Sheet (OLD)'!G$6</f>
        <v>#REF!</v>
      </c>
      <c r="H37" s="44"/>
      <c r="I37" s="48" t="e">
        <f>'2020 Rates'!#REF!*'Calculation Sheet (OLD)'!I$6</f>
        <v>#REF!</v>
      </c>
      <c r="J37" s="40" t="s">
        <v>79</v>
      </c>
      <c r="K37" s="38"/>
      <c r="L37" s="40" t="s">
        <v>79</v>
      </c>
      <c r="M37" s="9" t="e">
        <f>'2020 Rates'!#REF!*'Calculation Sheet (OLD)'!M$6</f>
        <v>#REF!</v>
      </c>
      <c r="N37" s="9" t="e">
        <f>'2020 Rates'!#REF!*'Calculation Sheet (OLD)'!N$6</f>
        <v>#REF!</v>
      </c>
      <c r="O37" s="38" t="e">
        <f>'2020 Rates'!#REF!*'Calculation Sheet (OLD)'!O$6</f>
        <v>#REF!</v>
      </c>
      <c r="Q37" s="38" t="e">
        <f>'2020 Rates'!#REF!*'Calculation Sheet (OLD)'!Q$6</f>
        <v>#REF!</v>
      </c>
    </row>
    <row r="38" spans="2:17" outlineLevel="1" x14ac:dyDescent="0.35">
      <c r="B38" s="23" t="s">
        <v>54</v>
      </c>
      <c r="C38" s="25" t="e">
        <f>'2020 Rates'!#REF!*'Calculation Sheet (OLD)'!C$6</f>
        <v>#REF!</v>
      </c>
      <c r="D38" s="25" t="e">
        <f>'2020 Rates'!#REF!*'Calculation Sheet (OLD)'!D$6</f>
        <v>#REF!</v>
      </c>
      <c r="E38" s="25" t="e">
        <f>'2020 Rates'!#REF!*'Calculation Sheet (OLD)'!E$6</f>
        <v>#REF!</v>
      </c>
      <c r="F38" s="25" t="e">
        <f>'2020 Rates'!#REF!*'Calculation Sheet (OLD)'!F$6</f>
        <v>#REF!</v>
      </c>
      <c r="G38" s="25" t="e">
        <f>'2020 Rates'!#REF!*'Calculation Sheet (OLD)'!G$6</f>
        <v>#REF!</v>
      </c>
      <c r="H38" s="44"/>
      <c r="I38" s="48" t="e">
        <f>'2020 Rates'!#REF!*'Calculation Sheet (OLD)'!I$6</f>
        <v>#REF!</v>
      </c>
      <c r="J38" s="38" t="e">
        <f>'2020 Rates'!#REF!*'Calculation Sheet (OLD)'!J$6</f>
        <v>#REF!</v>
      </c>
      <c r="K38" s="38"/>
      <c r="L38" s="38" t="e">
        <f>'2020 Rates'!#REF!*'Calculation Sheet (OLD)'!L$6</f>
        <v>#REF!</v>
      </c>
      <c r="M38" s="9" t="e">
        <f>'2020 Rates'!#REF!*'Calculation Sheet (OLD)'!M$6</f>
        <v>#REF!</v>
      </c>
      <c r="N38" s="9" t="e">
        <f>'2020 Rates'!#REF!*'Calculation Sheet (OLD)'!N$6</f>
        <v>#REF!</v>
      </c>
      <c r="O38" s="38" t="e">
        <f>'2020 Rates'!#REF!*'Calculation Sheet (OLD)'!O$6</f>
        <v>#REF!</v>
      </c>
      <c r="Q38" s="38" t="e">
        <f>'2020 Rates'!#REF!*'Calculation Sheet (OLD)'!Q$6</f>
        <v>#REF!</v>
      </c>
    </row>
    <row r="39" spans="2:17" outlineLevel="1" x14ac:dyDescent="0.35">
      <c r="B39" s="23" t="s">
        <v>55</v>
      </c>
      <c r="C39" s="25" t="e">
        <f>'2020 Rates'!#REF!*'Calculation Sheet (OLD)'!C$6</f>
        <v>#REF!</v>
      </c>
      <c r="D39" s="25" t="e">
        <f>'2020 Rates'!#REF!*'Calculation Sheet (OLD)'!D$6</f>
        <v>#REF!</v>
      </c>
      <c r="E39" s="25" t="e">
        <f>'2020 Rates'!#REF!*'Calculation Sheet (OLD)'!E$6</f>
        <v>#REF!</v>
      </c>
      <c r="F39" s="25" t="e">
        <f>'2020 Rates'!#REF!*'Calculation Sheet (OLD)'!F$6</f>
        <v>#REF!</v>
      </c>
      <c r="G39" s="25" t="e">
        <f>'2020 Rates'!#REF!*'Calculation Sheet (OLD)'!G$6</f>
        <v>#REF!</v>
      </c>
      <c r="H39" s="44"/>
      <c r="I39" s="48" t="e">
        <f>'2020 Rates'!#REF!*'Calculation Sheet (OLD)'!I$6</f>
        <v>#REF!</v>
      </c>
      <c r="J39" s="38" t="e">
        <f>'2020 Rates'!#REF!*'Calculation Sheet (OLD)'!J$6</f>
        <v>#REF!</v>
      </c>
      <c r="K39" s="38"/>
      <c r="L39" s="38" t="e">
        <f>'2020 Rates'!#REF!*'Calculation Sheet (OLD)'!L$6</f>
        <v>#REF!</v>
      </c>
      <c r="M39" s="9" t="e">
        <f>'2020 Rates'!#REF!*'Calculation Sheet (OLD)'!M$6</f>
        <v>#REF!</v>
      </c>
      <c r="N39" s="9" t="e">
        <f>'2020 Rates'!#REF!*'Calculation Sheet (OLD)'!N$6</f>
        <v>#REF!</v>
      </c>
      <c r="O39" s="38" t="e">
        <f>'2020 Rates'!#REF!*'Calculation Sheet (OLD)'!O$6</f>
        <v>#REF!</v>
      </c>
      <c r="Q39" s="38" t="e">
        <f>'2020 Rates'!#REF!*'Calculation Sheet (OLD)'!Q$6</f>
        <v>#REF!</v>
      </c>
    </row>
    <row r="40" spans="2:17" ht="29" outlineLevel="1" x14ac:dyDescent="0.35">
      <c r="B40" s="65" t="s">
        <v>60</v>
      </c>
      <c r="C40" s="25" t="e">
        <f>'2020 Rates'!C39*'Calculation Sheet (OLD)'!C$6</f>
        <v>#REF!</v>
      </c>
      <c r="D40" s="25" t="e">
        <f>'2020 Rates'!D39*'Calculation Sheet (OLD)'!D$6</f>
        <v>#REF!</v>
      </c>
      <c r="E40" s="25" t="e">
        <f>'2020 Rates'!E39*'Calculation Sheet (OLD)'!E$6</f>
        <v>#REF!</v>
      </c>
      <c r="F40" s="25" t="e">
        <f>'2020 Rates'!F39*'Calculation Sheet (OLD)'!F$6</f>
        <v>#REF!</v>
      </c>
      <c r="G40" s="25" t="e">
        <f>'2020 Rates'!G39*'Calculation Sheet (OLD)'!G$6</f>
        <v>#REF!</v>
      </c>
      <c r="H40" s="44"/>
      <c r="I40" s="48" t="e">
        <f>'2020 Rates'!H39*'Calculation Sheet (OLD)'!I$6</f>
        <v>#REF!</v>
      </c>
      <c r="J40" s="38" t="e">
        <f>'2020 Rates'!I39*'Calculation Sheet (OLD)'!J$6</f>
        <v>#REF!</v>
      </c>
      <c r="K40" s="38"/>
      <c r="L40" s="38" t="e">
        <f>'2020 Rates'!J39*'Calculation Sheet (OLD)'!L$6</f>
        <v>#REF!</v>
      </c>
      <c r="M40" s="9" t="e">
        <f>'2020 Rates'!#REF!*'Calculation Sheet (OLD)'!M$6</f>
        <v>#REF!</v>
      </c>
      <c r="N40" s="9" t="e">
        <f>'2020 Rates'!#REF!*'Calculation Sheet (OLD)'!N$6</f>
        <v>#REF!</v>
      </c>
      <c r="O40" s="38" t="e">
        <f>'2020 Rates'!K39*'Calculation Sheet (OLD)'!O$6</f>
        <v>#REF!</v>
      </c>
      <c r="Q40" s="38" t="e">
        <f>'2020 Rates'!L39*'Calculation Sheet (OLD)'!Q$6</f>
        <v>#REF!</v>
      </c>
    </row>
    <row r="41" spans="2:17" x14ac:dyDescent="0.35">
      <c r="B41" s="15"/>
      <c r="D41"/>
      <c r="E41"/>
      <c r="F41"/>
      <c r="G41"/>
      <c r="H41" s="32"/>
      <c r="I41" s="45"/>
    </row>
    <row r="42" spans="2:17" x14ac:dyDescent="0.35">
      <c r="B42" s="15"/>
      <c r="D42"/>
      <c r="E42"/>
      <c r="F42"/>
      <c r="G42"/>
      <c r="H42" s="32"/>
      <c r="I42" s="45"/>
    </row>
    <row r="43" spans="2:17" ht="15.5" x14ac:dyDescent="0.35">
      <c r="B43" s="73" t="s">
        <v>24</v>
      </c>
      <c r="D43"/>
      <c r="E43"/>
      <c r="F43"/>
      <c r="G43"/>
      <c r="H43" s="32"/>
      <c r="I43" s="45"/>
    </row>
    <row r="44" spans="2:17" x14ac:dyDescent="0.35">
      <c r="B44" s="71" t="s">
        <v>25</v>
      </c>
      <c r="C44" t="e">
        <f>'2020 Rates'!D47*'Calculation Sheet (OLD)'!$C$6</f>
        <v>#REF!</v>
      </c>
      <c r="D44" t="e">
        <f>'2020 Rates'!E47*'Calculation Sheet (OLD)'!$C$6</f>
        <v>#REF!</v>
      </c>
      <c r="E44" t="e">
        <f>'2020 Rates'!F47*'Calculation Sheet (OLD)'!$C$6</f>
        <v>#REF!</v>
      </c>
      <c r="F44" t="e">
        <f>'2020 Rates'!G47*'Calculation Sheet (OLD)'!$C$6</f>
        <v>#REF!</v>
      </c>
      <c r="G44" t="e">
        <f>'2020 Rates'!#REF!*'Calculation Sheet (OLD)'!$C$6</f>
        <v>#REF!</v>
      </c>
      <c r="H44" s="32"/>
      <c r="I44" s="45"/>
    </row>
    <row r="45" spans="2:17" x14ac:dyDescent="0.35">
      <c r="B45" s="71" t="s">
        <v>26</v>
      </c>
      <c r="C45" s="25" t="e">
        <f>'2020 Rates'!C48*'Calculation Sheet (OLD)'!C$6</f>
        <v>#REF!</v>
      </c>
      <c r="D45" s="25" t="e">
        <f>'2020 Rates'!D48*'Calculation Sheet (OLD)'!D$6</f>
        <v>#REF!</v>
      </c>
      <c r="E45" s="25" t="e">
        <f>'2020 Rates'!E48*'Calculation Sheet (OLD)'!E$6</f>
        <v>#REF!</v>
      </c>
      <c r="F45" s="25" t="e">
        <f>'2020 Rates'!F48*'Calculation Sheet (OLD)'!F$6</f>
        <v>#REF!</v>
      </c>
      <c r="G45" s="25" t="e">
        <f>'2020 Rates'!G48*'Calculation Sheet (OLD)'!G$6</f>
        <v>#REF!</v>
      </c>
      <c r="H45" s="32"/>
      <c r="I45" s="45" t="e">
        <f>'2020 Rates'!H48*'Calculation Sheet (OLD)'!I$6</f>
        <v>#REF!</v>
      </c>
    </row>
    <row r="46" spans="2:17" x14ac:dyDescent="0.35">
      <c r="B46" s="71" t="s">
        <v>27</v>
      </c>
      <c r="C46" s="25" t="e">
        <f>'2020 Rates'!C49*'Calculation Sheet (OLD)'!C$6</f>
        <v>#REF!</v>
      </c>
      <c r="D46" s="25" t="e">
        <f>'2020 Rates'!D49*'Calculation Sheet (OLD)'!D$6</f>
        <v>#REF!</v>
      </c>
      <c r="E46" s="25" t="e">
        <f>'2020 Rates'!E49*'Calculation Sheet (OLD)'!E$6</f>
        <v>#REF!</v>
      </c>
      <c r="F46" s="25" t="e">
        <f>'2020 Rates'!F49*'Calculation Sheet (OLD)'!F$6</f>
        <v>#REF!</v>
      </c>
      <c r="G46" s="25" t="e">
        <f>'2020 Rates'!G49*'Calculation Sheet (OLD)'!G$6</f>
        <v>#REF!</v>
      </c>
      <c r="H46" s="32"/>
      <c r="I46" s="45" t="e">
        <f>'2020 Rates'!H49*'Calculation Sheet (OLD)'!I$6</f>
        <v>#REF!</v>
      </c>
    </row>
    <row r="47" spans="2:17" x14ac:dyDescent="0.35">
      <c r="B47" s="15"/>
      <c r="D47"/>
      <c r="E47"/>
      <c r="F47"/>
      <c r="G47"/>
      <c r="H47" s="32"/>
      <c r="I47" s="45"/>
    </row>
    <row r="48" spans="2:17" x14ac:dyDescent="0.35">
      <c r="B48" s="15"/>
      <c r="D48"/>
      <c r="E48"/>
      <c r="F48"/>
      <c r="G48"/>
      <c r="H48" s="32"/>
      <c r="I48" s="45"/>
    </row>
    <row r="49" spans="2:17" s="4" customFormat="1" ht="29" x14ac:dyDescent="0.35">
      <c r="B49" s="66" t="s">
        <v>157</v>
      </c>
      <c r="C49" s="28" t="e">
        <f>+C8+C30</f>
        <v>#REF!</v>
      </c>
      <c r="D49" s="28" t="e">
        <f>+D8+D30</f>
        <v>#REF!</v>
      </c>
      <c r="E49" s="28" t="e">
        <f>+E8+E30</f>
        <v>#REF!</v>
      </c>
      <c r="F49" s="28" t="e">
        <f>+F8+F30</f>
        <v>#REF!</v>
      </c>
      <c r="G49" s="28" t="e">
        <f>+G8+G30</f>
        <v>#REF!</v>
      </c>
      <c r="H49" s="35" t="e">
        <f>+H8</f>
        <v>#REF!</v>
      </c>
      <c r="I49" s="50" t="e">
        <f>+I8+I30</f>
        <v>#REF!</v>
      </c>
      <c r="J49" s="31">
        <v>10.99</v>
      </c>
      <c r="K49" s="31">
        <f>+K8+K30</f>
        <v>0</v>
      </c>
      <c r="L49" s="31">
        <v>10.99</v>
      </c>
      <c r="M49" s="31" t="e">
        <f>+M8+M30</f>
        <v>#REF!</v>
      </c>
      <c r="N49" s="31" t="e">
        <f>+N8+N30</f>
        <v>#REF!</v>
      </c>
      <c r="O49" s="31" t="e">
        <f>+O8+O30</f>
        <v>#REF!</v>
      </c>
      <c r="P49" s="31">
        <f>+P8+P30</f>
        <v>0</v>
      </c>
      <c r="Q49" s="31" t="e">
        <f>+Q8+Q30</f>
        <v>#REF!</v>
      </c>
    </row>
    <row r="50" spans="2:17" s="4" customFormat="1" ht="29" x14ac:dyDescent="0.35">
      <c r="B50" s="66" t="s">
        <v>158</v>
      </c>
      <c r="C50" s="28" t="e">
        <f>+C8+C36</f>
        <v>#REF!</v>
      </c>
      <c r="D50" s="28" t="e">
        <f>+D8+D36</f>
        <v>#REF!</v>
      </c>
      <c r="E50" s="28" t="e">
        <f>+E8+E36</f>
        <v>#REF!</v>
      </c>
      <c r="F50" s="28" t="e">
        <f>+F8+F36</f>
        <v>#REF!</v>
      </c>
      <c r="G50" s="28" t="e">
        <f>+G8+G36</f>
        <v>#REF!</v>
      </c>
      <c r="H50" s="35" t="e">
        <f>+H8</f>
        <v>#REF!</v>
      </c>
      <c r="I50" s="50" t="e">
        <f>+I8+I36</f>
        <v>#REF!</v>
      </c>
      <c r="J50" s="31">
        <v>12.39</v>
      </c>
      <c r="K50" s="31">
        <f>+K8+K36</f>
        <v>0</v>
      </c>
      <c r="L50" s="31">
        <v>12.39</v>
      </c>
      <c r="M50" s="31" t="e">
        <f>+M8+M36</f>
        <v>#REF!</v>
      </c>
      <c r="N50" s="31" t="e">
        <f>+N8+N36</f>
        <v>#REF!</v>
      </c>
      <c r="O50" s="31" t="e">
        <f>+O8+O36</f>
        <v>#REF!</v>
      </c>
      <c r="P50" s="31">
        <f>+P8+P36</f>
        <v>0</v>
      </c>
      <c r="Q50" s="31" t="e">
        <f>+Q8+Q36</f>
        <v>#REF!</v>
      </c>
    </row>
    <row r="51" spans="2:17" x14ac:dyDescent="0.35">
      <c r="B51" s="15"/>
      <c r="D51"/>
      <c r="E51"/>
      <c r="F51"/>
      <c r="G51"/>
    </row>
    <row r="52" spans="2:17" x14ac:dyDescent="0.35">
      <c r="D52"/>
      <c r="E52"/>
      <c r="F52"/>
      <c r="G52"/>
    </row>
    <row r="53" spans="2:17" ht="15.5" x14ac:dyDescent="0.35">
      <c r="B53" s="61" t="s">
        <v>28</v>
      </c>
      <c r="C53" s="25"/>
      <c r="D53" s="25"/>
      <c r="E53" s="25"/>
      <c r="F53" s="25"/>
      <c r="G53" s="25"/>
    </row>
    <row r="54" spans="2:17" x14ac:dyDescent="0.35">
      <c r="B54" t="s">
        <v>29</v>
      </c>
      <c r="C54" s="25" t="e">
        <f>'2020 Rates'!C54*'Calculation Sheet (OLD)'!C$6</f>
        <v>#REF!</v>
      </c>
      <c r="D54" s="25" t="e">
        <f>'2020 Rates'!D54*'Calculation Sheet (OLD)'!D$6</f>
        <v>#REF!</v>
      </c>
      <c r="E54" s="25" t="e">
        <f>'2020 Rates'!E54*'Calculation Sheet (OLD)'!E$6</f>
        <v>#REF!</v>
      </c>
      <c r="F54" s="25" t="e">
        <f>'2020 Rates'!F54*'Calculation Sheet (OLD)'!F$6</f>
        <v>#REF!</v>
      </c>
      <c r="G54" s="25" t="e">
        <f>'2020 Rates'!G54*'Calculation Sheet (OLD)'!G$6</f>
        <v>#REF!</v>
      </c>
      <c r="I54" s="63" t="e">
        <f>'2020 Rates'!H54*'Calculation Sheet (OLD)'!I$6</f>
        <v>#REF!</v>
      </c>
    </row>
    <row r="55" spans="2:17" x14ac:dyDescent="0.35">
      <c r="C55" s="25"/>
      <c r="D55" s="41"/>
      <c r="E55" s="41"/>
      <c r="F55" s="41"/>
      <c r="G55" s="41"/>
    </row>
    <row r="58" spans="2:17" ht="15.5" x14ac:dyDescent="0.35">
      <c r="B58" s="61" t="s">
        <v>32</v>
      </c>
    </row>
    <row r="59" spans="2:17" x14ac:dyDescent="0.35">
      <c r="B59" s="24" t="s">
        <v>69</v>
      </c>
    </row>
    <row r="60" spans="2:17" x14ac:dyDescent="0.35">
      <c r="B60" t="s">
        <v>61</v>
      </c>
    </row>
    <row r="61" spans="2:17" x14ac:dyDescent="0.35">
      <c r="B61" t="s">
        <v>110</v>
      </c>
    </row>
    <row r="65" spans="1:2" x14ac:dyDescent="0.35">
      <c r="B65" s="4" t="s">
        <v>68</v>
      </c>
    </row>
    <row r="66" spans="1:2" x14ac:dyDescent="0.35">
      <c r="B66" s="29" t="s">
        <v>62</v>
      </c>
    </row>
    <row r="67" spans="1:2" x14ac:dyDescent="0.35">
      <c r="B67" t="s">
        <v>64</v>
      </c>
    </row>
    <row r="68" spans="1:2" x14ac:dyDescent="0.35">
      <c r="B68" t="s">
        <v>65</v>
      </c>
    </row>
    <row r="69" spans="1:2" x14ac:dyDescent="0.35">
      <c r="B69" t="s">
        <v>66</v>
      </c>
    </row>
    <row r="70" spans="1:2" x14ac:dyDescent="0.35">
      <c r="B70" t="s">
        <v>67</v>
      </c>
    </row>
    <row r="71" spans="1:2" x14ac:dyDescent="0.35">
      <c r="B71" t="s">
        <v>105</v>
      </c>
    </row>
    <row r="72" spans="1:2" x14ac:dyDescent="0.35">
      <c r="B72" t="s">
        <v>70</v>
      </c>
    </row>
    <row r="73" spans="1:2" x14ac:dyDescent="0.35">
      <c r="B73" t="s">
        <v>71</v>
      </c>
    </row>
    <row r="74" spans="1:2" x14ac:dyDescent="0.35">
      <c r="A74" s="54"/>
      <c r="B74" t="s">
        <v>72</v>
      </c>
    </row>
    <row r="75" spans="1:2" x14ac:dyDescent="0.35">
      <c r="A75" s="55" t="s">
        <v>87</v>
      </c>
      <c r="B75" t="s">
        <v>77</v>
      </c>
    </row>
    <row r="76" spans="1:2" x14ac:dyDescent="0.35">
      <c r="A76" s="55"/>
      <c r="B76" t="s">
        <v>108</v>
      </c>
    </row>
    <row r="77" spans="1:2" x14ac:dyDescent="0.35">
      <c r="A77" s="55"/>
      <c r="B77" t="s">
        <v>109</v>
      </c>
    </row>
    <row r="78" spans="1:2" x14ac:dyDescent="0.35">
      <c r="A78" s="55"/>
    </row>
    <row r="79" spans="1:2" x14ac:dyDescent="0.35">
      <c r="A79" s="55"/>
      <c r="B79" s="29" t="s">
        <v>63</v>
      </c>
    </row>
    <row r="80" spans="1:2" x14ac:dyDescent="0.35">
      <c r="A80" s="55"/>
      <c r="B80" s="4"/>
    </row>
    <row r="81" spans="1:2" x14ac:dyDescent="0.35">
      <c r="A81" s="55" t="s">
        <v>88</v>
      </c>
      <c r="B81" t="s">
        <v>73</v>
      </c>
    </row>
    <row r="82" spans="1:2" x14ac:dyDescent="0.35">
      <c r="A82" s="55" t="s">
        <v>89</v>
      </c>
      <c r="B82" t="s">
        <v>74</v>
      </c>
    </row>
    <row r="83" spans="1:2" x14ac:dyDescent="0.35">
      <c r="A83" s="55" t="s">
        <v>90</v>
      </c>
      <c r="B83" t="s">
        <v>9</v>
      </c>
    </row>
    <row r="84" spans="1:2" x14ac:dyDescent="0.35">
      <c r="A84" s="55" t="s">
        <v>91</v>
      </c>
      <c r="B84" t="s">
        <v>76</v>
      </c>
    </row>
    <row r="85" spans="1:2" x14ac:dyDescent="0.35">
      <c r="A85" s="55"/>
      <c r="B85" t="s">
        <v>75</v>
      </c>
    </row>
    <row r="86" spans="1:2" x14ac:dyDescent="0.35">
      <c r="B86" t="s">
        <v>107</v>
      </c>
    </row>
    <row r="92" spans="1:2" x14ac:dyDescent="0.35">
      <c r="A92" t="s">
        <v>16</v>
      </c>
    </row>
    <row r="93" spans="1:2" x14ac:dyDescent="0.35">
      <c r="A93" s="5" t="s">
        <v>82</v>
      </c>
      <c r="B93" s="52" t="s">
        <v>106</v>
      </c>
    </row>
    <row r="94" spans="1:2" x14ac:dyDescent="0.35">
      <c r="A94" s="5" t="s">
        <v>83</v>
      </c>
      <c r="B94" s="53" t="s">
        <v>34</v>
      </c>
    </row>
    <row r="95" spans="1:2" x14ac:dyDescent="0.35">
      <c r="A95" s="5" t="s">
        <v>84</v>
      </c>
      <c r="B95" t="s">
        <v>92</v>
      </c>
    </row>
    <row r="96" spans="1:2" x14ac:dyDescent="0.35">
      <c r="A96" s="5" t="s">
        <v>85</v>
      </c>
      <c r="B96" s="52" t="s">
        <v>93</v>
      </c>
    </row>
    <row r="97" spans="1:3" x14ac:dyDescent="0.35">
      <c r="A97" s="5" t="s">
        <v>86</v>
      </c>
      <c r="B97" s="52" t="s">
        <v>94</v>
      </c>
    </row>
    <row r="98" spans="1:3" x14ac:dyDescent="0.35">
      <c r="B98" s="52"/>
    </row>
    <row r="111" spans="1:3" x14ac:dyDescent="0.35">
      <c r="C111" t="s">
        <v>153</v>
      </c>
    </row>
    <row r="112" spans="1:3" x14ac:dyDescent="0.35">
      <c r="C112" t="s">
        <v>154</v>
      </c>
    </row>
    <row r="113" spans="3:3" x14ac:dyDescent="0.35">
      <c r="C113" t="s">
        <v>80</v>
      </c>
    </row>
    <row r="114" spans="3:3" x14ac:dyDescent="0.35">
      <c r="C114" t="s">
        <v>155</v>
      </c>
    </row>
    <row r="115" spans="3:3" x14ac:dyDescent="0.35">
      <c r="C115" t="s">
        <v>156</v>
      </c>
    </row>
  </sheetData>
  <mergeCells count="7">
    <mergeCell ref="B4:B5"/>
    <mergeCell ref="H5:I5"/>
    <mergeCell ref="B2:O2"/>
    <mergeCell ref="C3:G3"/>
    <mergeCell ref="H3:I3"/>
    <mergeCell ref="J3:L3"/>
    <mergeCell ref="M3:Q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W67"/>
  <sheetViews>
    <sheetView topLeftCell="A31" zoomScale="110" zoomScaleNormal="110" workbookViewId="0">
      <selection activeCell="B61" sqref="B61:D63"/>
    </sheetView>
  </sheetViews>
  <sheetFormatPr defaultRowHeight="14.5" x14ac:dyDescent="0.35"/>
  <cols>
    <col min="2" max="2" width="12.453125" customWidth="1"/>
    <col min="10" max="10" width="18.7265625" customWidth="1"/>
    <col min="21" max="21" width="11.26953125" customWidth="1"/>
    <col min="22" max="22" width="29.7265625" style="80" bestFit="1" customWidth="1"/>
    <col min="23" max="23" width="15.26953125" customWidth="1"/>
    <col min="25" max="25" width="29.26953125" bestFit="1" customWidth="1"/>
    <col min="26" max="26" width="23" customWidth="1"/>
  </cols>
  <sheetData>
    <row r="1" spans="1:23" x14ac:dyDescent="0.35">
      <c r="A1" s="10" t="s">
        <v>149</v>
      </c>
      <c r="B1" s="10" t="s">
        <v>150</v>
      </c>
      <c r="C1" s="10"/>
      <c r="D1" s="10"/>
      <c r="E1" s="10"/>
      <c r="F1" s="10"/>
      <c r="G1" s="10"/>
      <c r="H1" s="10"/>
      <c r="I1" s="10"/>
      <c r="J1" s="10"/>
    </row>
    <row r="2" spans="1:23" x14ac:dyDescent="0.35">
      <c r="A2" s="10"/>
      <c r="B2" s="10"/>
      <c r="C2" s="10"/>
      <c r="D2" s="10"/>
      <c r="E2" s="10"/>
      <c r="F2" s="10"/>
      <c r="G2" s="10"/>
      <c r="H2" s="10"/>
      <c r="I2" s="10"/>
      <c r="J2" s="10"/>
    </row>
    <row r="3" spans="1:23" x14ac:dyDescent="0.35">
      <c r="A3" s="10"/>
      <c r="B3" s="10" t="s">
        <v>178</v>
      </c>
      <c r="C3" s="10"/>
      <c r="D3" s="10"/>
      <c r="G3" s="10"/>
      <c r="H3" s="10" t="s">
        <v>186</v>
      </c>
      <c r="I3" s="10"/>
      <c r="J3" s="10"/>
    </row>
    <row r="4" spans="1:23" x14ac:dyDescent="0.35">
      <c r="A4" t="s">
        <v>131</v>
      </c>
      <c r="B4" s="10"/>
      <c r="C4" s="10"/>
      <c r="D4" s="10"/>
      <c r="E4" s="10"/>
      <c r="F4" s="10"/>
      <c r="G4" s="10"/>
      <c r="H4" s="10"/>
      <c r="I4" s="10"/>
      <c r="J4" s="10"/>
    </row>
    <row r="5" spans="1:23" x14ac:dyDescent="0.35">
      <c r="A5" t="s">
        <v>134</v>
      </c>
      <c r="B5" s="10"/>
      <c r="C5" s="10"/>
      <c r="D5" s="10"/>
      <c r="E5" s="10"/>
      <c r="F5" s="10"/>
      <c r="G5" s="10"/>
      <c r="H5" s="10"/>
      <c r="I5" s="10"/>
      <c r="J5" s="10"/>
    </row>
    <row r="6" spans="1:23" x14ac:dyDescent="0.35">
      <c r="A6" s="68" t="s">
        <v>152</v>
      </c>
    </row>
    <row r="7" spans="1:23" x14ac:dyDescent="0.35">
      <c r="G7" t="s">
        <v>151</v>
      </c>
    </row>
    <row r="9" spans="1:23" x14ac:dyDescent="0.35">
      <c r="G9" t="s">
        <v>160</v>
      </c>
      <c r="W9" s="82" t="s">
        <v>183</v>
      </c>
    </row>
    <row r="10" spans="1:23" x14ac:dyDescent="0.35">
      <c r="H10" t="s">
        <v>116</v>
      </c>
      <c r="J10" t="s">
        <v>139</v>
      </c>
      <c r="V10" s="81" t="s">
        <v>10</v>
      </c>
      <c r="W10" s="79" t="s">
        <v>159</v>
      </c>
    </row>
    <row r="11" spans="1:23" x14ac:dyDescent="0.35">
      <c r="J11" t="s">
        <v>142</v>
      </c>
      <c r="V11" s="81" t="s">
        <v>165</v>
      </c>
      <c r="W11" s="79" t="s">
        <v>163</v>
      </c>
    </row>
    <row r="12" spans="1:23" x14ac:dyDescent="0.35">
      <c r="J12" t="s">
        <v>140</v>
      </c>
      <c r="V12" s="81"/>
      <c r="W12" s="79" t="s">
        <v>164</v>
      </c>
    </row>
    <row r="13" spans="1:23" x14ac:dyDescent="0.35">
      <c r="J13" t="s">
        <v>162</v>
      </c>
      <c r="V13" s="81" t="s">
        <v>167</v>
      </c>
      <c r="W13" s="79" t="s">
        <v>168</v>
      </c>
    </row>
    <row r="14" spans="1:23" x14ac:dyDescent="0.35">
      <c r="H14" t="s">
        <v>135</v>
      </c>
      <c r="V14" s="81" t="s">
        <v>171</v>
      </c>
      <c r="W14" s="79" t="s">
        <v>172</v>
      </c>
    </row>
    <row r="15" spans="1:23" x14ac:dyDescent="0.35">
      <c r="H15" t="s">
        <v>136</v>
      </c>
      <c r="I15" t="s">
        <v>187</v>
      </c>
      <c r="V15" s="81" t="s">
        <v>166</v>
      </c>
      <c r="W15" s="79" t="s">
        <v>175</v>
      </c>
    </row>
    <row r="16" spans="1:23" x14ac:dyDescent="0.35">
      <c r="V16" s="81" t="s">
        <v>173</v>
      </c>
      <c r="W16" s="79" t="s">
        <v>174</v>
      </c>
    </row>
    <row r="17" spans="2:23" x14ac:dyDescent="0.35">
      <c r="V17" s="81" t="s">
        <v>176</v>
      </c>
      <c r="W17" s="79" t="s">
        <v>177</v>
      </c>
    </row>
    <row r="18" spans="2:23" x14ac:dyDescent="0.35">
      <c r="M18" s="68" t="s">
        <v>137</v>
      </c>
      <c r="V18" s="81"/>
    </row>
    <row r="19" spans="2:23" x14ac:dyDescent="0.35">
      <c r="M19" s="68" t="s">
        <v>143</v>
      </c>
      <c r="V19" s="81"/>
    </row>
    <row r="20" spans="2:23" x14ac:dyDescent="0.35">
      <c r="N20" t="s">
        <v>145</v>
      </c>
      <c r="V20" s="81"/>
    </row>
    <row r="21" spans="2:23" x14ac:dyDescent="0.35">
      <c r="O21" t="s">
        <v>146</v>
      </c>
      <c r="V21" s="81"/>
    </row>
    <row r="22" spans="2:23" x14ac:dyDescent="0.35">
      <c r="O22" t="s">
        <v>147</v>
      </c>
      <c r="V22" s="81"/>
    </row>
    <row r="23" spans="2:23" x14ac:dyDescent="0.35">
      <c r="O23" t="s">
        <v>148</v>
      </c>
      <c r="V23" s="81"/>
    </row>
    <row r="24" spans="2:23" x14ac:dyDescent="0.35">
      <c r="V24" s="81"/>
    </row>
    <row r="25" spans="2:23" x14ac:dyDescent="0.35">
      <c r="V25" s="81"/>
    </row>
    <row r="26" spans="2:23" x14ac:dyDescent="0.35">
      <c r="V26" s="81"/>
    </row>
    <row r="27" spans="2:23" x14ac:dyDescent="0.35">
      <c r="B27" t="s">
        <v>179</v>
      </c>
      <c r="H27" t="s">
        <v>180</v>
      </c>
      <c r="M27" t="s">
        <v>114</v>
      </c>
    </row>
    <row r="28" spans="2:23" x14ac:dyDescent="0.35">
      <c r="M28" s="3" t="s">
        <v>128</v>
      </c>
    </row>
    <row r="29" spans="2:23" x14ac:dyDescent="0.35">
      <c r="B29" t="s">
        <v>127</v>
      </c>
      <c r="M29" s="85" t="s">
        <v>169</v>
      </c>
    </row>
    <row r="30" spans="2:23" x14ac:dyDescent="0.35">
      <c r="B30" t="s">
        <v>144</v>
      </c>
      <c r="M30" s="85" t="s">
        <v>170</v>
      </c>
    </row>
    <row r="31" spans="2:23" x14ac:dyDescent="0.35">
      <c r="B31" t="s">
        <v>126</v>
      </c>
      <c r="H31" t="s">
        <v>119</v>
      </c>
    </row>
    <row r="32" spans="2:23" x14ac:dyDescent="0.35">
      <c r="B32" t="s">
        <v>129</v>
      </c>
      <c r="G32" s="86" t="s">
        <v>189</v>
      </c>
      <c r="H32" s="84" t="s">
        <v>120</v>
      </c>
      <c r="I32" s="84" t="s">
        <v>161</v>
      </c>
      <c r="J32" s="84"/>
      <c r="K32" s="84" t="s">
        <v>132</v>
      </c>
      <c r="L32" s="84"/>
      <c r="M32" t="s">
        <v>181</v>
      </c>
    </row>
    <row r="33" spans="2:12" x14ac:dyDescent="0.35">
      <c r="B33" t="s">
        <v>130</v>
      </c>
      <c r="G33" s="86" t="s">
        <v>189</v>
      </c>
      <c r="H33" s="84" t="s">
        <v>121</v>
      </c>
      <c r="I33" s="84"/>
      <c r="J33" s="84"/>
      <c r="K33" s="84"/>
      <c r="L33" s="84"/>
    </row>
    <row r="34" spans="2:12" x14ac:dyDescent="0.35">
      <c r="B34" t="s">
        <v>141</v>
      </c>
      <c r="G34" s="86" t="s">
        <v>190</v>
      </c>
      <c r="H34" s="84" t="s">
        <v>122</v>
      </c>
      <c r="I34" s="84"/>
      <c r="K34" s="84"/>
      <c r="L34" s="84"/>
    </row>
    <row r="35" spans="2:12" x14ac:dyDescent="0.35">
      <c r="G35" s="86" t="s">
        <v>190</v>
      </c>
      <c r="H35" s="84" t="s">
        <v>188</v>
      </c>
      <c r="I35" s="84"/>
      <c r="J35" s="87" t="s">
        <v>192</v>
      </c>
      <c r="K35" s="84"/>
      <c r="L35" s="84"/>
    </row>
    <row r="36" spans="2:12" x14ac:dyDescent="0.35">
      <c r="G36" s="86" t="s">
        <v>190</v>
      </c>
      <c r="H36" s="84" t="s">
        <v>123</v>
      </c>
      <c r="I36" s="84"/>
      <c r="J36" s="84"/>
      <c r="K36" s="84"/>
      <c r="L36" s="84"/>
    </row>
    <row r="37" spans="2:12" x14ac:dyDescent="0.35">
      <c r="G37" s="86" t="s">
        <v>190</v>
      </c>
      <c r="H37" s="84" t="s">
        <v>195</v>
      </c>
      <c r="I37" s="84"/>
      <c r="J37" s="84"/>
      <c r="K37" s="84"/>
      <c r="L37" s="84"/>
    </row>
    <row r="38" spans="2:12" x14ac:dyDescent="0.35">
      <c r="G38" s="86" t="s">
        <v>191</v>
      </c>
      <c r="H38" s="84" t="s">
        <v>124</v>
      </c>
      <c r="I38" s="84"/>
      <c r="J38" s="84"/>
      <c r="K38" s="84"/>
      <c r="L38" s="84"/>
    </row>
    <row r="39" spans="2:12" x14ac:dyDescent="0.35">
      <c r="G39" s="86" t="s">
        <v>191</v>
      </c>
      <c r="H39" s="84" t="s">
        <v>125</v>
      </c>
      <c r="I39" s="84"/>
      <c r="J39" s="84"/>
      <c r="K39" s="84"/>
      <c r="L39" s="84"/>
    </row>
    <row r="40" spans="2:12" x14ac:dyDescent="0.35">
      <c r="B40" t="s">
        <v>185</v>
      </c>
      <c r="G40" s="86" t="s">
        <v>191</v>
      </c>
      <c r="H40" s="84" t="s">
        <v>182</v>
      </c>
      <c r="I40" s="84"/>
      <c r="J40" s="84"/>
      <c r="K40" s="84"/>
      <c r="L40" s="84"/>
    </row>
    <row r="41" spans="2:12" x14ac:dyDescent="0.35">
      <c r="B41" s="84" t="s">
        <v>99</v>
      </c>
      <c r="G41" s="86" t="s">
        <v>189</v>
      </c>
      <c r="H41" s="84" t="s">
        <v>193</v>
      </c>
      <c r="I41" s="84"/>
      <c r="J41" s="84"/>
      <c r="K41" s="84"/>
      <c r="L41" s="84"/>
    </row>
    <row r="42" spans="2:12" x14ac:dyDescent="0.35">
      <c r="B42" s="84" t="s">
        <v>101</v>
      </c>
      <c r="G42" s="86" t="s">
        <v>189</v>
      </c>
      <c r="H42" s="84" t="s">
        <v>194</v>
      </c>
    </row>
    <row r="43" spans="2:12" x14ac:dyDescent="0.35">
      <c r="B43" s="84" t="s">
        <v>102</v>
      </c>
    </row>
    <row r="44" spans="2:12" x14ac:dyDescent="0.35">
      <c r="B44" s="84" t="s">
        <v>98</v>
      </c>
    </row>
    <row r="45" spans="2:12" x14ac:dyDescent="0.35">
      <c r="B45" s="84" t="s">
        <v>100</v>
      </c>
    </row>
    <row r="46" spans="2:12" x14ac:dyDescent="0.35">
      <c r="B46" s="84"/>
    </row>
    <row r="47" spans="2:12" x14ac:dyDescent="0.35">
      <c r="B47" s="83"/>
    </row>
    <row r="48" spans="2:12" x14ac:dyDescent="0.35">
      <c r="B48" s="83"/>
    </row>
    <row r="49" spans="2:10" x14ac:dyDescent="0.35">
      <c r="B49" t="s">
        <v>117</v>
      </c>
      <c r="H49" t="s">
        <v>111</v>
      </c>
      <c r="I49" t="s">
        <v>112</v>
      </c>
      <c r="J49" t="s">
        <v>113</v>
      </c>
    </row>
    <row r="50" spans="2:10" x14ac:dyDescent="0.35">
      <c r="B50" s="83"/>
    </row>
    <row r="51" spans="2:10" x14ac:dyDescent="0.35">
      <c r="B51" s="83"/>
      <c r="J51" t="s">
        <v>115</v>
      </c>
    </row>
    <row r="52" spans="2:10" x14ac:dyDescent="0.35">
      <c r="J52" t="s">
        <v>118</v>
      </c>
    </row>
    <row r="55" spans="2:10" x14ac:dyDescent="0.35">
      <c r="H55" t="s">
        <v>132</v>
      </c>
      <c r="J55" t="s">
        <v>138</v>
      </c>
    </row>
    <row r="56" spans="2:10" x14ac:dyDescent="0.35">
      <c r="H56" t="s">
        <v>133</v>
      </c>
    </row>
    <row r="61" spans="2:10" x14ac:dyDescent="0.35">
      <c r="B61" t="s">
        <v>196</v>
      </c>
      <c r="D61" s="79" t="s">
        <v>159</v>
      </c>
    </row>
    <row r="62" spans="2:10" x14ac:dyDescent="0.35">
      <c r="B62" t="s">
        <v>197</v>
      </c>
      <c r="C62" t="s">
        <v>201</v>
      </c>
      <c r="D62" s="79" t="s">
        <v>168</v>
      </c>
    </row>
    <row r="63" spans="2:10" x14ac:dyDescent="0.35">
      <c r="B63" t="s">
        <v>198</v>
      </c>
      <c r="C63" t="s">
        <v>200</v>
      </c>
      <c r="D63" s="79" t="s">
        <v>199</v>
      </c>
    </row>
    <row r="64" spans="2:10" x14ac:dyDescent="0.35">
      <c r="C64" s="68" t="s">
        <v>202</v>
      </c>
    </row>
    <row r="65" spans="3:3" x14ac:dyDescent="0.35">
      <c r="C65" s="68" t="s">
        <v>203</v>
      </c>
    </row>
    <row r="66" spans="3:3" x14ac:dyDescent="0.35">
      <c r="C66" s="68" t="s">
        <v>204</v>
      </c>
    </row>
    <row r="67" spans="3:3" x14ac:dyDescent="0.35">
      <c r="C67" s="68" t="s">
        <v>205</v>
      </c>
    </row>
  </sheetData>
  <hyperlinks>
    <hyperlink ref="W10" r:id="rId1" xr:uid="{B43CD024-0541-4F0A-AC61-137024E7F5E2}"/>
    <hyperlink ref="W11" r:id="rId2" xr:uid="{54CCC84A-622D-476D-9F8C-E9405EFB7CE6}"/>
    <hyperlink ref="W12" r:id="rId3" xr:uid="{98C580BD-60CF-417A-B674-CC830EC90866}"/>
    <hyperlink ref="W13" r:id="rId4" xr:uid="{55B117FE-FD0C-46B8-9EAA-E98008896449}"/>
    <hyperlink ref="W14" r:id="rId5" xr:uid="{F32C3286-BAF2-461C-8625-62C11F5008DF}"/>
    <hyperlink ref="W16" r:id="rId6" xr:uid="{F0CEBB55-2E62-43DB-B08B-AEA943CA693E}"/>
    <hyperlink ref="W15" r:id="rId7" xr:uid="{938A4CCF-C74F-41FE-AD7C-9717AA0F869C}"/>
    <hyperlink ref="W17" r:id="rId8" xr:uid="{940CC8EA-0A90-4EBE-9429-1FCB896EB5A6}"/>
    <hyperlink ref="D61" r:id="rId9" xr:uid="{733AA3B0-5917-48D9-8928-CCAE6083529A}"/>
    <hyperlink ref="D62" r:id="rId10" xr:uid="{5CB0DE24-E3EA-4A6A-8E82-DEA06F79F770}"/>
    <hyperlink ref="D63" r:id="rId11" xr:uid="{7B0C0858-9C23-4858-810D-67B083595425}"/>
  </hyperlinks>
  <pageMargins left="0.7" right="0.7" top="0.75" bottom="0.75" header="0.3" footer="0.3"/>
  <pageSetup orientation="portrait"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A65A-0EAA-4A3D-914E-3D00E27ECF7A}">
  <sheetPr codeName="Sheet4"/>
  <dimension ref="A1:H6"/>
  <sheetViews>
    <sheetView topLeftCell="B1" zoomScale="85" zoomScaleNormal="85" workbookViewId="0">
      <selection activeCell="H4" sqref="H4"/>
    </sheetView>
  </sheetViews>
  <sheetFormatPr defaultRowHeight="14.5" x14ac:dyDescent="0.35"/>
  <cols>
    <col min="1" max="1" width="30.54296875" customWidth="1"/>
    <col min="2" max="2" width="49.81640625" bestFit="1" customWidth="1"/>
    <col min="3" max="3" width="20.81640625" bestFit="1" customWidth="1"/>
    <col min="4" max="4" width="25.7265625" bestFit="1" customWidth="1"/>
    <col min="5" max="5" width="28.54296875" bestFit="1" customWidth="1"/>
    <col min="6" max="6" width="19.1796875" bestFit="1" customWidth="1"/>
    <col min="7" max="7" width="15.54296875" bestFit="1" customWidth="1"/>
    <col min="8" max="8" width="17.1796875" customWidth="1"/>
  </cols>
  <sheetData>
    <row r="1" spans="1:8" x14ac:dyDescent="0.35">
      <c r="A1" s="15" t="s">
        <v>430</v>
      </c>
      <c r="B1" s="15" t="s">
        <v>467</v>
      </c>
      <c r="C1" s="15" t="s">
        <v>298</v>
      </c>
      <c r="D1" s="15" t="s">
        <v>464</v>
      </c>
      <c r="E1" s="15" t="s">
        <v>465</v>
      </c>
      <c r="F1" s="15" t="s">
        <v>466</v>
      </c>
      <c r="G1" s="15" t="s">
        <v>286</v>
      </c>
      <c r="H1" s="15" t="s">
        <v>481</v>
      </c>
    </row>
    <row r="2" spans="1:8" x14ac:dyDescent="0.35">
      <c r="A2" t="s">
        <v>56</v>
      </c>
      <c r="B2" t="s">
        <v>57</v>
      </c>
      <c r="C2" s="6" t="s">
        <v>25</v>
      </c>
      <c r="D2" s="6" t="s">
        <v>26</v>
      </c>
      <c r="E2" s="6" t="s">
        <v>27</v>
      </c>
      <c r="F2" t="s">
        <v>29</v>
      </c>
      <c r="G2" t="s">
        <v>81</v>
      </c>
      <c r="H2" t="s">
        <v>81</v>
      </c>
    </row>
    <row r="3" spans="1:8" x14ac:dyDescent="0.35">
      <c r="B3" t="s">
        <v>58</v>
      </c>
      <c r="H3" s="462" t="s">
        <v>469</v>
      </c>
    </row>
    <row r="4" spans="1:8" x14ac:dyDescent="0.35">
      <c r="B4" t="s">
        <v>53</v>
      </c>
      <c r="H4" s="462" t="s">
        <v>470</v>
      </c>
    </row>
    <row r="5" spans="1:8" x14ac:dyDescent="0.35">
      <c r="B5" t="s">
        <v>54</v>
      </c>
      <c r="H5" t="s">
        <v>476</v>
      </c>
    </row>
    <row r="6" spans="1:8" x14ac:dyDescent="0.35">
      <c r="B6" t="s">
        <v>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FB312-BE1C-4525-88B2-47726956CA23}">
  <dimension ref="A1:B7"/>
  <sheetViews>
    <sheetView workbookViewId="0">
      <selection activeCell="B30" sqref="B30"/>
    </sheetView>
  </sheetViews>
  <sheetFormatPr defaultRowHeight="14.5" x14ac:dyDescent="0.35"/>
  <cols>
    <col min="1" max="1" width="75" bestFit="1" customWidth="1"/>
    <col min="2" max="2" width="83.26953125" bestFit="1" customWidth="1"/>
  </cols>
  <sheetData>
    <row r="1" spans="1:2" x14ac:dyDescent="0.35">
      <c r="A1" s="15" t="s">
        <v>356</v>
      </c>
      <c r="B1" s="15" t="s">
        <v>210</v>
      </c>
    </row>
    <row r="2" spans="1:2" x14ac:dyDescent="0.35">
      <c r="A2" t="s">
        <v>422</v>
      </c>
      <c r="B2" t="s">
        <v>484</v>
      </c>
    </row>
    <row r="3" spans="1:2" x14ac:dyDescent="0.35">
      <c r="A3" t="s">
        <v>423</v>
      </c>
      <c r="B3" t="s">
        <v>483</v>
      </c>
    </row>
    <row r="4" spans="1:2" x14ac:dyDescent="0.35">
      <c r="A4" t="s">
        <v>424</v>
      </c>
      <c r="B4" t="s">
        <v>483</v>
      </c>
    </row>
    <row r="5" spans="1:2" x14ac:dyDescent="0.35">
      <c r="A5" t="s">
        <v>425</v>
      </c>
      <c r="B5" t="s">
        <v>483</v>
      </c>
    </row>
    <row r="6" spans="1:2" x14ac:dyDescent="0.35">
      <c r="A6" t="s">
        <v>426</v>
      </c>
      <c r="B6" t="s">
        <v>483</v>
      </c>
    </row>
    <row r="7" spans="1:2" x14ac:dyDescent="0.35">
      <c r="A7" t="s">
        <v>427</v>
      </c>
      <c r="B7" t="s">
        <v>483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00FF"/>
  </sheetPr>
  <dimension ref="A2:T156"/>
  <sheetViews>
    <sheetView zoomScale="60" zoomScaleNormal="60" workbookViewId="0">
      <pane xSplit="2" ySplit="5" topLeftCell="C36" activePane="bottomRight" state="frozen"/>
      <selection pane="topRight" activeCell="C1" sqref="C1"/>
      <selection pane="bottomLeft" activeCell="A6" sqref="A6"/>
      <selection pane="bottomRight" activeCell="M45" sqref="M45"/>
    </sheetView>
  </sheetViews>
  <sheetFormatPr defaultRowHeight="14.5" outlineLevelRow="3" x14ac:dyDescent="0.35"/>
  <cols>
    <col min="1" max="1" width="2" customWidth="1"/>
    <col min="2" max="2" width="50" customWidth="1"/>
    <col min="3" max="3" width="20.54296875" customWidth="1"/>
    <col min="4" max="4" width="19" style="6" customWidth="1"/>
    <col min="5" max="5" width="19.1796875" style="6" customWidth="1"/>
    <col min="6" max="6" width="19" style="6" customWidth="1"/>
    <col min="7" max="7" width="17.7265625" style="6" bestFit="1" customWidth="1"/>
    <col min="8" max="8" width="20" style="6" bestFit="1" customWidth="1"/>
    <col min="9" max="9" width="17.1796875" style="6" bestFit="1" customWidth="1"/>
    <col min="10" max="10" width="15.81640625" style="6" customWidth="1"/>
    <col min="11" max="12" width="13.81640625" style="6" customWidth="1"/>
    <col min="13" max="13" width="17.1796875" style="6" bestFit="1" customWidth="1"/>
    <col min="14" max="14" width="15.81640625" style="6" customWidth="1"/>
    <col min="15" max="17" width="11.26953125" bestFit="1" customWidth="1"/>
    <col min="18" max="19" width="13" bestFit="1" customWidth="1"/>
    <col min="20" max="20" width="13.26953125" bestFit="1" customWidth="1"/>
  </cols>
  <sheetData>
    <row r="2" spans="2:20" s="58" customFormat="1" ht="19" thickBot="1" x14ac:dyDescent="0.5">
      <c r="B2" s="557" t="s">
        <v>491</v>
      </c>
      <c r="C2" s="558"/>
      <c r="D2" s="558"/>
      <c r="E2" s="558"/>
      <c r="F2" s="558"/>
      <c r="G2" s="558"/>
      <c r="H2" s="558"/>
      <c r="I2" s="559"/>
      <c r="J2" s="559"/>
      <c r="K2" s="559"/>
      <c r="L2" s="57"/>
      <c r="M2" s="461"/>
      <c r="N2" s="461"/>
    </row>
    <row r="3" spans="2:20" s="60" customFormat="1" ht="15.75" customHeight="1" x14ac:dyDescent="0.35">
      <c r="B3" s="436"/>
      <c r="C3" s="560" t="s">
        <v>21</v>
      </c>
      <c r="D3" s="560"/>
      <c r="E3" s="560"/>
      <c r="F3" s="560"/>
      <c r="G3" s="560"/>
      <c r="H3" s="437" t="s">
        <v>468</v>
      </c>
      <c r="I3" s="553" t="s">
        <v>30</v>
      </c>
      <c r="J3" s="561"/>
      <c r="K3" s="562" t="s">
        <v>474</v>
      </c>
      <c r="L3" s="563"/>
      <c r="M3" s="554" t="s">
        <v>478</v>
      </c>
      <c r="N3" s="554"/>
      <c r="O3" s="552" t="s">
        <v>30</v>
      </c>
      <c r="P3" s="553"/>
      <c r="Q3" s="553"/>
      <c r="R3" s="553"/>
      <c r="S3" s="553"/>
      <c r="T3" s="479"/>
    </row>
    <row r="4" spans="2:20" s="10" customFormat="1" ht="43.5" x14ac:dyDescent="0.35">
      <c r="B4" s="555"/>
      <c r="C4" s="12" t="s">
        <v>411</v>
      </c>
      <c r="D4" s="12" t="s">
        <v>98</v>
      </c>
      <c r="E4" s="12" t="s">
        <v>352</v>
      </c>
      <c r="F4" s="12" t="s">
        <v>412</v>
      </c>
      <c r="G4" s="16" t="s">
        <v>353</v>
      </c>
      <c r="H4" s="438" t="s">
        <v>81</v>
      </c>
      <c r="I4" s="11" t="s">
        <v>95</v>
      </c>
      <c r="J4" s="11" t="s">
        <v>348</v>
      </c>
      <c r="K4" s="12" t="s">
        <v>347</v>
      </c>
      <c r="L4" s="12" t="s">
        <v>351</v>
      </c>
      <c r="M4" s="460" t="s">
        <v>479</v>
      </c>
      <c r="N4" s="460" t="s">
        <v>480</v>
      </c>
      <c r="O4" s="11" t="s">
        <v>485</v>
      </c>
      <c r="P4" s="11" t="s">
        <v>486</v>
      </c>
      <c r="Q4" s="11" t="s">
        <v>487</v>
      </c>
      <c r="R4" s="11" t="s">
        <v>488</v>
      </c>
      <c r="S4" s="478" t="s">
        <v>489</v>
      </c>
      <c r="T4" s="11" t="s">
        <v>490</v>
      </c>
    </row>
    <row r="5" spans="2:20" s="10" customFormat="1" x14ac:dyDescent="0.35">
      <c r="B5" s="556"/>
      <c r="C5" s="13" t="s">
        <v>103</v>
      </c>
      <c r="D5" s="13" t="s">
        <v>103</v>
      </c>
      <c r="E5" s="13" t="s">
        <v>103</v>
      </c>
      <c r="F5" s="13" t="s">
        <v>103</v>
      </c>
      <c r="G5" s="17" t="s">
        <v>104</v>
      </c>
      <c r="H5" s="439"/>
      <c r="I5" s="19" t="s">
        <v>22</v>
      </c>
      <c r="J5" s="13" t="s">
        <v>22</v>
      </c>
      <c r="K5" s="22" t="s">
        <v>22</v>
      </c>
      <c r="L5" s="475" t="s">
        <v>22</v>
      </c>
      <c r="M5" s="17" t="s">
        <v>22</v>
      </c>
      <c r="N5" s="13" t="s">
        <v>22</v>
      </c>
      <c r="O5" s="19" t="s">
        <v>22</v>
      </c>
      <c r="P5" s="17" t="s">
        <v>22</v>
      </c>
      <c r="Q5" s="17" t="s">
        <v>22</v>
      </c>
      <c r="R5" s="17" t="s">
        <v>22</v>
      </c>
      <c r="S5" s="19" t="s">
        <v>22</v>
      </c>
      <c r="T5" s="21" t="s">
        <v>22</v>
      </c>
    </row>
    <row r="6" spans="2:20" x14ac:dyDescent="0.35">
      <c r="B6" s="1"/>
      <c r="C6" s="70"/>
      <c r="H6" s="2"/>
      <c r="M6" s="70"/>
      <c r="N6" s="71"/>
      <c r="O6" s="6"/>
      <c r="P6" s="6"/>
      <c r="Q6" s="6"/>
      <c r="R6" s="6"/>
      <c r="S6" s="6"/>
      <c r="T6" s="71"/>
    </row>
    <row r="7" spans="2:20" ht="15.5" x14ac:dyDescent="0.35">
      <c r="B7" s="440" t="s">
        <v>23</v>
      </c>
      <c r="C7" s="70"/>
      <c r="H7" s="2"/>
      <c r="M7" s="70"/>
      <c r="N7" s="71"/>
      <c r="O7" s="6"/>
      <c r="P7" s="6"/>
      <c r="Q7" s="6"/>
      <c r="R7" s="6"/>
      <c r="S7" s="6"/>
      <c r="T7" s="71"/>
    </row>
    <row r="8" spans="2:20" x14ac:dyDescent="0.35">
      <c r="B8" s="1"/>
      <c r="C8" s="6"/>
      <c r="H8" s="2"/>
      <c r="M8" s="70"/>
      <c r="N8" s="71"/>
      <c r="O8" s="6"/>
      <c r="P8" s="6"/>
      <c r="Q8" s="6"/>
      <c r="R8" s="6"/>
      <c r="S8" s="6"/>
      <c r="T8" s="71"/>
    </row>
    <row r="9" spans="2:20" outlineLevel="2" x14ac:dyDescent="0.35">
      <c r="B9" s="441" t="s">
        <v>35</v>
      </c>
      <c r="C9" s="197">
        <v>11191</v>
      </c>
      <c r="D9" s="41">
        <v>8010</v>
      </c>
      <c r="E9" s="41">
        <v>6553</v>
      </c>
      <c r="F9" s="41">
        <v>4483</v>
      </c>
      <c r="G9" s="42">
        <v>3615</v>
      </c>
      <c r="H9" s="442">
        <v>8.3699999999999992</v>
      </c>
      <c r="I9" s="38">
        <f>$H9</f>
        <v>8.3699999999999992</v>
      </c>
      <c r="J9" s="38">
        <f>$H9</f>
        <v>8.3699999999999992</v>
      </c>
      <c r="K9" s="38">
        <f>$H9</f>
        <v>8.3699999999999992</v>
      </c>
      <c r="L9" s="38">
        <f>$H9</f>
        <v>8.3699999999999992</v>
      </c>
      <c r="M9" s="187"/>
      <c r="N9" s="174"/>
      <c r="O9" s="38"/>
      <c r="P9" s="38"/>
      <c r="Q9" s="38"/>
      <c r="R9" s="38"/>
      <c r="S9" s="38"/>
      <c r="T9" s="71"/>
    </row>
    <row r="10" spans="2:20" ht="26.5" outlineLevel="3" x14ac:dyDescent="0.35">
      <c r="B10" s="443" t="s">
        <v>96</v>
      </c>
      <c r="C10" s="197"/>
      <c r="D10" s="41"/>
      <c r="E10" s="41"/>
      <c r="F10" s="41"/>
      <c r="G10" s="42"/>
      <c r="H10" s="442"/>
      <c r="I10" s="38"/>
      <c r="J10" s="38"/>
      <c r="K10" s="38"/>
      <c r="L10" s="38"/>
      <c r="M10" s="187">
        <f>$H9*0.8</f>
        <v>6.6959999999999997</v>
      </c>
      <c r="N10" s="174">
        <f>$H9*0.8</f>
        <v>6.6959999999999997</v>
      </c>
      <c r="O10" s="38">
        <f>$H$9*0.798757764</f>
        <v>6.6856024846799995</v>
      </c>
      <c r="P10" s="38"/>
      <c r="Q10" s="38"/>
      <c r="R10" s="38">
        <f>$H$9*0.798757764</f>
        <v>6.6856024846799995</v>
      </c>
      <c r="S10" s="38"/>
      <c r="T10" s="71"/>
    </row>
    <row r="11" spans="2:20" ht="26.5" outlineLevel="3" x14ac:dyDescent="0.35">
      <c r="B11" s="443" t="s">
        <v>97</v>
      </c>
      <c r="C11" s="197"/>
      <c r="D11" s="41"/>
      <c r="E11" s="41"/>
      <c r="F11" s="41"/>
      <c r="G11" s="42"/>
      <c r="H11" s="442"/>
      <c r="I11" s="38"/>
      <c r="J11" s="38"/>
      <c r="K11" s="38"/>
      <c r="L11" s="38"/>
      <c r="M11" s="187">
        <f>$H9*0.695+0.01</f>
        <v>5.8271499999999987</v>
      </c>
      <c r="N11" s="174">
        <f>+M11</f>
        <v>5.8271499999999987</v>
      </c>
      <c r="O11" s="38"/>
      <c r="P11" s="38">
        <f>$H$9*0.694</f>
        <v>5.8087799999999987</v>
      </c>
      <c r="Q11" s="38">
        <f>$H$9*0.694</f>
        <v>5.8087799999999987</v>
      </c>
      <c r="R11" s="38"/>
      <c r="S11" s="38">
        <f>$H$9*0.694</f>
        <v>5.8087799999999987</v>
      </c>
      <c r="T11" s="71">
        <v>5.59</v>
      </c>
    </row>
    <row r="12" spans="2:20" outlineLevel="2" x14ac:dyDescent="0.35">
      <c r="B12" s="441" t="s">
        <v>50</v>
      </c>
      <c r="C12" s="197">
        <v>815</v>
      </c>
      <c r="D12" s="41">
        <v>583</v>
      </c>
      <c r="E12" s="41">
        <v>477</v>
      </c>
      <c r="F12" s="41">
        <v>326</v>
      </c>
      <c r="G12" s="42">
        <v>263</v>
      </c>
      <c r="H12" s="444">
        <v>0.43</v>
      </c>
      <c r="I12" s="38">
        <f t="shared" ref="I12:L29" si="0">$H12</f>
        <v>0.43</v>
      </c>
      <c r="J12" s="38">
        <f t="shared" si="0"/>
        <v>0.43</v>
      </c>
      <c r="K12" s="38">
        <f t="shared" si="0"/>
        <v>0.43</v>
      </c>
      <c r="L12" s="38">
        <f t="shared" si="0"/>
        <v>0.43</v>
      </c>
      <c r="M12" s="70"/>
      <c r="N12" s="71"/>
      <c r="O12" s="38"/>
      <c r="P12" s="38"/>
      <c r="Q12" s="38"/>
      <c r="R12" s="38"/>
      <c r="S12" s="38"/>
      <c r="T12" s="71"/>
    </row>
    <row r="13" spans="2:20" outlineLevel="2" x14ac:dyDescent="0.35">
      <c r="B13" s="441" t="s">
        <v>36</v>
      </c>
      <c r="C13" s="197">
        <v>545</v>
      </c>
      <c r="D13" s="41">
        <v>390</v>
      </c>
      <c r="E13" s="41">
        <v>319</v>
      </c>
      <c r="F13" s="41">
        <v>218</v>
      </c>
      <c r="G13" s="42">
        <v>176</v>
      </c>
      <c r="H13" s="444">
        <v>0.27</v>
      </c>
      <c r="I13" s="38">
        <f t="shared" si="0"/>
        <v>0.27</v>
      </c>
      <c r="J13" s="38">
        <f t="shared" si="0"/>
        <v>0.27</v>
      </c>
      <c r="K13" s="38">
        <f t="shared" si="0"/>
        <v>0.27</v>
      </c>
      <c r="L13" s="38">
        <f t="shared" si="0"/>
        <v>0.27</v>
      </c>
      <c r="M13" s="70"/>
      <c r="N13" s="71"/>
      <c r="O13" s="38"/>
      <c r="P13" s="38"/>
      <c r="Q13" s="38"/>
      <c r="R13" s="38"/>
      <c r="S13" s="38"/>
      <c r="T13" s="71"/>
    </row>
    <row r="14" spans="2:20" outlineLevel="2" x14ac:dyDescent="0.35">
      <c r="B14" s="441" t="s">
        <v>37</v>
      </c>
      <c r="C14" s="197">
        <v>480</v>
      </c>
      <c r="D14" s="41">
        <v>344</v>
      </c>
      <c r="E14" s="41">
        <v>282</v>
      </c>
      <c r="F14" s="42">
        <v>192</v>
      </c>
      <c r="G14" s="42">
        <v>155</v>
      </c>
      <c r="H14" s="442">
        <v>0.24</v>
      </c>
      <c r="I14" s="38">
        <f t="shared" si="0"/>
        <v>0.24</v>
      </c>
      <c r="J14" s="38">
        <f t="shared" si="0"/>
        <v>0.24</v>
      </c>
      <c r="K14" s="38">
        <f t="shared" si="0"/>
        <v>0.24</v>
      </c>
      <c r="L14" s="38">
        <f t="shared" si="0"/>
        <v>0.24</v>
      </c>
      <c r="M14" s="70"/>
      <c r="N14" s="71"/>
      <c r="O14" s="38"/>
      <c r="P14" s="38"/>
      <c r="Q14" s="38"/>
      <c r="R14" s="38"/>
      <c r="S14" s="38"/>
      <c r="T14" s="71"/>
    </row>
    <row r="15" spans="2:20" outlineLevel="2" x14ac:dyDescent="0.35">
      <c r="B15" s="441" t="s">
        <v>38</v>
      </c>
      <c r="C15" s="197">
        <v>1992</v>
      </c>
      <c r="D15" s="41">
        <v>1426</v>
      </c>
      <c r="E15" s="41">
        <v>1167</v>
      </c>
      <c r="F15" s="42">
        <v>798</v>
      </c>
      <c r="G15" s="42">
        <v>643</v>
      </c>
      <c r="H15" s="442">
        <v>1.02</v>
      </c>
      <c r="I15" s="38">
        <f t="shared" si="0"/>
        <v>1.02</v>
      </c>
      <c r="J15" s="38">
        <f t="shared" si="0"/>
        <v>1.02</v>
      </c>
      <c r="K15" s="38">
        <f t="shared" si="0"/>
        <v>1.02</v>
      </c>
      <c r="L15" s="38">
        <f t="shared" si="0"/>
        <v>1.02</v>
      </c>
      <c r="M15" s="70"/>
      <c r="N15" s="71"/>
      <c r="O15" s="38"/>
      <c r="P15" s="38"/>
      <c r="Q15" s="38"/>
      <c r="R15" s="38"/>
      <c r="S15" s="38"/>
      <c r="T15" s="71"/>
    </row>
    <row r="16" spans="2:20" outlineLevel="2" x14ac:dyDescent="0.35">
      <c r="B16" s="441" t="s">
        <v>39</v>
      </c>
      <c r="C16" s="197">
        <v>2444</v>
      </c>
      <c r="D16" s="41">
        <v>1749</v>
      </c>
      <c r="E16" s="41">
        <v>1431</v>
      </c>
      <c r="F16" s="42">
        <v>979</v>
      </c>
      <c r="G16" s="42">
        <v>790</v>
      </c>
      <c r="H16" s="442">
        <v>0.11</v>
      </c>
      <c r="I16" s="38">
        <f t="shared" si="0"/>
        <v>0.11</v>
      </c>
      <c r="J16" s="38">
        <f t="shared" si="0"/>
        <v>0.11</v>
      </c>
      <c r="K16" s="38">
        <f t="shared" si="0"/>
        <v>0.11</v>
      </c>
      <c r="L16" s="38">
        <f t="shared" si="0"/>
        <v>0.11</v>
      </c>
      <c r="M16" s="70"/>
      <c r="N16" s="71"/>
      <c r="O16" s="38"/>
      <c r="P16" s="38"/>
      <c r="Q16" s="38"/>
      <c r="R16" s="38"/>
      <c r="S16" s="38"/>
      <c r="T16" s="71"/>
    </row>
    <row r="17" spans="2:20" outlineLevel="2" x14ac:dyDescent="0.35">
      <c r="B17" s="441" t="s">
        <v>40</v>
      </c>
      <c r="C17" s="197">
        <v>4604</v>
      </c>
      <c r="D17" s="41">
        <v>3295</v>
      </c>
      <c r="E17" s="41">
        <v>2696</v>
      </c>
      <c r="F17" s="42">
        <v>1845</v>
      </c>
      <c r="G17" s="42">
        <v>1487</v>
      </c>
      <c r="H17" s="442">
        <v>0.21</v>
      </c>
      <c r="I17" s="38">
        <f t="shared" si="0"/>
        <v>0.21</v>
      </c>
      <c r="J17" s="38">
        <f t="shared" si="0"/>
        <v>0.21</v>
      </c>
      <c r="K17" s="38">
        <f t="shared" si="0"/>
        <v>0.21</v>
      </c>
      <c r="L17" s="38">
        <f t="shared" si="0"/>
        <v>0.21</v>
      </c>
      <c r="M17" s="70"/>
      <c r="N17" s="71"/>
      <c r="O17" s="38"/>
      <c r="P17" s="38"/>
      <c r="Q17" s="38"/>
      <c r="R17" s="38"/>
      <c r="S17" s="38"/>
      <c r="T17" s="71"/>
    </row>
    <row r="18" spans="2:20" outlineLevel="2" x14ac:dyDescent="0.35">
      <c r="B18" s="441" t="s">
        <v>41</v>
      </c>
      <c r="C18" s="197">
        <v>1086</v>
      </c>
      <c r="D18" s="41">
        <v>777</v>
      </c>
      <c r="E18" s="41">
        <v>636</v>
      </c>
      <c r="F18" s="42">
        <v>435</v>
      </c>
      <c r="G18" s="42">
        <v>351</v>
      </c>
      <c r="H18" s="442">
        <v>0.05</v>
      </c>
      <c r="I18" s="38">
        <f t="shared" si="0"/>
        <v>0.05</v>
      </c>
      <c r="J18" s="38">
        <f t="shared" si="0"/>
        <v>0.05</v>
      </c>
      <c r="K18" s="38">
        <f t="shared" si="0"/>
        <v>0.05</v>
      </c>
      <c r="L18" s="38">
        <f t="shared" si="0"/>
        <v>0.05</v>
      </c>
      <c r="M18" s="70"/>
      <c r="N18" s="71"/>
      <c r="O18" s="38"/>
      <c r="P18" s="38"/>
      <c r="Q18" s="38"/>
      <c r="R18" s="38"/>
      <c r="S18" s="38"/>
      <c r="T18" s="71"/>
    </row>
    <row r="19" spans="2:20" outlineLevel="2" x14ac:dyDescent="0.35">
      <c r="B19" s="441" t="s">
        <v>408</v>
      </c>
      <c r="C19" s="197">
        <v>343</v>
      </c>
      <c r="D19" s="41">
        <v>245</v>
      </c>
      <c r="E19" s="41">
        <v>201</v>
      </c>
      <c r="F19" s="42">
        <v>137</v>
      </c>
      <c r="G19" s="42">
        <v>111</v>
      </c>
      <c r="H19" s="442">
        <v>0.18</v>
      </c>
      <c r="I19" s="38">
        <f t="shared" si="0"/>
        <v>0.18</v>
      </c>
      <c r="J19" s="38">
        <f t="shared" si="0"/>
        <v>0.18</v>
      </c>
      <c r="K19" s="38">
        <f t="shared" si="0"/>
        <v>0.18</v>
      </c>
      <c r="L19" s="38">
        <f t="shared" si="0"/>
        <v>0.18</v>
      </c>
      <c r="M19" s="70"/>
      <c r="N19" s="71"/>
      <c r="O19" s="38"/>
      <c r="Q19" s="38"/>
      <c r="R19" s="38"/>
      <c r="S19" s="38"/>
      <c r="T19" s="71"/>
    </row>
    <row r="20" spans="2:20" outlineLevel="2" x14ac:dyDescent="0.35">
      <c r="B20" s="441" t="s">
        <v>409</v>
      </c>
      <c r="C20" s="197">
        <v>173</v>
      </c>
      <c r="D20" s="41">
        <v>124</v>
      </c>
      <c r="E20" s="41">
        <v>101</v>
      </c>
      <c r="F20" s="42">
        <v>69</v>
      </c>
      <c r="G20" s="42">
        <v>56</v>
      </c>
      <c r="H20" s="442">
        <v>0.08</v>
      </c>
      <c r="I20" s="38">
        <f t="shared" si="0"/>
        <v>0.08</v>
      </c>
      <c r="J20" s="38">
        <f t="shared" si="0"/>
        <v>0.08</v>
      </c>
      <c r="K20" s="38">
        <f t="shared" si="0"/>
        <v>0.08</v>
      </c>
      <c r="L20" s="38">
        <f t="shared" si="0"/>
        <v>0.08</v>
      </c>
      <c r="M20" s="70"/>
      <c r="N20" s="71"/>
      <c r="O20" s="38"/>
      <c r="P20" s="38"/>
      <c r="Q20" s="38"/>
      <c r="R20" s="38"/>
      <c r="S20" s="38"/>
      <c r="T20" s="71"/>
    </row>
    <row r="21" spans="2:20" outlineLevel="2" x14ac:dyDescent="0.35">
      <c r="B21" s="441" t="s">
        <v>43</v>
      </c>
      <c r="C21" s="197">
        <v>142</v>
      </c>
      <c r="D21" s="41">
        <v>102</v>
      </c>
      <c r="E21" s="41">
        <v>83</v>
      </c>
      <c r="F21" s="42">
        <v>57</v>
      </c>
      <c r="G21" s="42">
        <v>46</v>
      </c>
      <c r="H21" s="442">
        <v>0.03</v>
      </c>
      <c r="I21" s="38">
        <f t="shared" si="0"/>
        <v>0.03</v>
      </c>
      <c r="J21" s="38">
        <f t="shared" si="0"/>
        <v>0.03</v>
      </c>
      <c r="K21" s="38">
        <f t="shared" si="0"/>
        <v>0.03</v>
      </c>
      <c r="L21" s="38">
        <f t="shared" si="0"/>
        <v>0.03</v>
      </c>
      <c r="M21" s="70"/>
      <c r="N21" s="71"/>
      <c r="O21" s="38"/>
      <c r="P21" s="38"/>
      <c r="Q21" s="38"/>
      <c r="R21" s="38"/>
      <c r="S21" s="38"/>
      <c r="T21" s="71"/>
    </row>
    <row r="22" spans="2:20" outlineLevel="2" x14ac:dyDescent="0.35">
      <c r="B22" s="441" t="s">
        <v>44</v>
      </c>
      <c r="C22" s="197">
        <v>130</v>
      </c>
      <c r="D22" s="41">
        <v>92</v>
      </c>
      <c r="E22" s="41">
        <v>76</v>
      </c>
      <c r="F22" s="42">
        <v>52</v>
      </c>
      <c r="G22" s="42">
        <v>42</v>
      </c>
      <c r="H22" s="442">
        <v>0.01</v>
      </c>
      <c r="I22" s="38">
        <f t="shared" si="0"/>
        <v>0.01</v>
      </c>
      <c r="J22" s="38">
        <f t="shared" si="0"/>
        <v>0.01</v>
      </c>
      <c r="K22" s="38">
        <f t="shared" si="0"/>
        <v>0.01</v>
      </c>
      <c r="L22" s="38">
        <f t="shared" si="0"/>
        <v>0.01</v>
      </c>
      <c r="M22" s="70"/>
      <c r="N22" s="71"/>
      <c r="O22" s="38"/>
      <c r="P22" s="38"/>
      <c r="Q22" s="38"/>
      <c r="R22" s="38"/>
      <c r="S22" s="38"/>
      <c r="T22" s="71"/>
    </row>
    <row r="23" spans="2:20" outlineLevel="2" x14ac:dyDescent="0.35">
      <c r="B23" s="441" t="s">
        <v>45</v>
      </c>
      <c r="C23" s="197">
        <v>1</v>
      </c>
      <c r="D23" s="41">
        <v>1</v>
      </c>
      <c r="E23" s="41">
        <v>1</v>
      </c>
      <c r="F23" s="42">
        <v>0</v>
      </c>
      <c r="G23" s="42">
        <v>0</v>
      </c>
      <c r="H23" s="442">
        <v>0</v>
      </c>
      <c r="I23" s="38">
        <f t="shared" si="0"/>
        <v>0</v>
      </c>
      <c r="J23" s="38">
        <f t="shared" si="0"/>
        <v>0</v>
      </c>
      <c r="K23" s="38">
        <f t="shared" si="0"/>
        <v>0</v>
      </c>
      <c r="L23" s="38">
        <f t="shared" si="0"/>
        <v>0</v>
      </c>
      <c r="M23" s="70"/>
      <c r="N23" s="71"/>
      <c r="O23" s="38"/>
      <c r="P23" s="38"/>
      <c r="Q23" s="38"/>
      <c r="R23" s="38"/>
      <c r="S23" s="38"/>
      <c r="T23" s="71"/>
    </row>
    <row r="24" spans="2:20" outlineLevel="2" x14ac:dyDescent="0.35">
      <c r="B24" s="441" t="s">
        <v>46</v>
      </c>
      <c r="C24" s="197">
        <v>16</v>
      </c>
      <c r="D24" s="41">
        <v>11</v>
      </c>
      <c r="E24" s="41">
        <v>9</v>
      </c>
      <c r="F24" s="42">
        <v>6</v>
      </c>
      <c r="G24" s="42">
        <v>5</v>
      </c>
      <c r="H24" s="442">
        <v>0</v>
      </c>
      <c r="I24" s="38">
        <f t="shared" si="0"/>
        <v>0</v>
      </c>
      <c r="J24" s="38">
        <f t="shared" si="0"/>
        <v>0</v>
      </c>
      <c r="K24" s="38">
        <f t="shared" si="0"/>
        <v>0</v>
      </c>
      <c r="L24" s="38">
        <f t="shared" si="0"/>
        <v>0</v>
      </c>
      <c r="M24" s="70"/>
      <c r="N24" s="71"/>
      <c r="O24" s="38"/>
      <c r="P24" s="38"/>
      <c r="Q24" s="38"/>
      <c r="R24" s="38"/>
      <c r="S24" s="38"/>
      <c r="T24" s="71"/>
    </row>
    <row r="25" spans="2:20" outlineLevel="2" x14ac:dyDescent="0.35">
      <c r="B25" s="441" t="s">
        <v>47</v>
      </c>
      <c r="C25" s="197">
        <v>673</v>
      </c>
      <c r="D25" s="41">
        <v>482</v>
      </c>
      <c r="E25" s="41">
        <v>394</v>
      </c>
      <c r="F25" s="42">
        <v>270</v>
      </c>
      <c r="G25" s="42">
        <v>217</v>
      </c>
      <c r="H25" s="442">
        <v>0</v>
      </c>
      <c r="I25" s="38">
        <f t="shared" si="0"/>
        <v>0</v>
      </c>
      <c r="J25" s="38">
        <f t="shared" si="0"/>
        <v>0</v>
      </c>
      <c r="K25" s="38">
        <f t="shared" si="0"/>
        <v>0</v>
      </c>
      <c r="L25" s="38">
        <f t="shared" si="0"/>
        <v>0</v>
      </c>
      <c r="M25" s="70"/>
      <c r="N25" s="71"/>
      <c r="O25" s="38"/>
      <c r="P25" s="38"/>
      <c r="Q25" s="38"/>
      <c r="R25" s="38"/>
      <c r="S25" s="38"/>
      <c r="T25" s="71"/>
    </row>
    <row r="26" spans="2:20" outlineLevel="2" x14ac:dyDescent="0.35">
      <c r="B26" s="441" t="s">
        <v>48</v>
      </c>
      <c r="C26" s="197">
        <v>435</v>
      </c>
      <c r="D26" s="41">
        <v>312</v>
      </c>
      <c r="E26" s="41">
        <v>255</v>
      </c>
      <c r="F26" s="42">
        <v>175</v>
      </c>
      <c r="G26" s="42">
        <v>140</v>
      </c>
      <c r="H26" s="442">
        <v>0.22</v>
      </c>
      <c r="I26" s="38">
        <f t="shared" si="0"/>
        <v>0.22</v>
      </c>
      <c r="J26" s="38">
        <f t="shared" si="0"/>
        <v>0.22</v>
      </c>
      <c r="K26" s="38">
        <f t="shared" si="0"/>
        <v>0.22</v>
      </c>
      <c r="L26" s="38">
        <f t="shared" si="0"/>
        <v>0.22</v>
      </c>
      <c r="M26" s="70"/>
      <c r="N26" s="71"/>
      <c r="O26" s="38"/>
      <c r="P26" s="38"/>
      <c r="Q26" s="38"/>
      <c r="R26" s="38"/>
      <c r="S26" s="38"/>
      <c r="T26" s="71"/>
    </row>
    <row r="27" spans="2:20" outlineLevel="2" x14ac:dyDescent="0.35">
      <c r="B27" s="441" t="s">
        <v>49</v>
      </c>
      <c r="C27" s="197">
        <v>509</v>
      </c>
      <c r="D27" s="41">
        <v>365</v>
      </c>
      <c r="E27" s="41">
        <v>298</v>
      </c>
      <c r="F27" s="42">
        <v>204</v>
      </c>
      <c r="G27" s="42">
        <v>164</v>
      </c>
      <c r="H27" s="442">
        <v>0.26</v>
      </c>
      <c r="I27" s="38">
        <f t="shared" si="0"/>
        <v>0.26</v>
      </c>
      <c r="J27" s="38">
        <f t="shared" si="0"/>
        <v>0.26</v>
      </c>
      <c r="K27" s="38">
        <f t="shared" si="0"/>
        <v>0.26</v>
      </c>
      <c r="L27" s="38">
        <f t="shared" si="0"/>
        <v>0.26</v>
      </c>
      <c r="M27" s="70"/>
      <c r="N27" s="71"/>
      <c r="O27" s="38"/>
      <c r="P27" s="38"/>
      <c r="Q27" s="38"/>
      <c r="R27" s="38"/>
      <c r="S27" s="38"/>
      <c r="T27" s="71"/>
    </row>
    <row r="28" spans="2:20" outlineLevel="2" x14ac:dyDescent="0.35">
      <c r="B28" s="441" t="s">
        <v>52</v>
      </c>
      <c r="C28" s="41">
        <v>42</v>
      </c>
      <c r="D28" s="41">
        <v>30</v>
      </c>
      <c r="E28" s="41">
        <v>24</v>
      </c>
      <c r="F28" s="42">
        <v>17</v>
      </c>
      <c r="G28" s="42">
        <v>14</v>
      </c>
      <c r="H28" s="442">
        <v>0.02</v>
      </c>
      <c r="I28" s="38">
        <f t="shared" si="0"/>
        <v>0.02</v>
      </c>
      <c r="J28" s="38">
        <f t="shared" si="0"/>
        <v>0.02</v>
      </c>
      <c r="K28" s="38">
        <f t="shared" si="0"/>
        <v>0.02</v>
      </c>
      <c r="L28" s="38">
        <f t="shared" si="0"/>
        <v>0.02</v>
      </c>
      <c r="M28" s="70"/>
      <c r="N28" s="71"/>
      <c r="O28" s="38"/>
      <c r="P28" s="38"/>
      <c r="Q28" s="38"/>
      <c r="R28" s="38"/>
      <c r="S28" s="38"/>
      <c r="T28" s="71"/>
    </row>
    <row r="29" spans="2:20" outlineLevel="2" x14ac:dyDescent="0.35">
      <c r="B29" s="441" t="s">
        <v>51</v>
      </c>
      <c r="C29" s="41">
        <v>683</v>
      </c>
      <c r="D29" s="41">
        <v>488</v>
      </c>
      <c r="E29" s="41">
        <v>400</v>
      </c>
      <c r="F29" s="42">
        <v>273</v>
      </c>
      <c r="G29" s="42">
        <v>220</v>
      </c>
      <c r="H29" s="442">
        <v>0.14000000000000001</v>
      </c>
      <c r="I29" s="38">
        <f t="shared" si="0"/>
        <v>0.14000000000000001</v>
      </c>
      <c r="J29" s="38">
        <f t="shared" si="0"/>
        <v>0.14000000000000001</v>
      </c>
      <c r="K29" s="38">
        <f t="shared" si="0"/>
        <v>0.14000000000000001</v>
      </c>
      <c r="L29" s="38">
        <f t="shared" si="0"/>
        <v>0.14000000000000001</v>
      </c>
      <c r="M29" s="70"/>
      <c r="N29" s="71"/>
      <c r="O29" s="38"/>
      <c r="P29" s="38"/>
      <c r="Q29" s="38"/>
      <c r="R29" s="38"/>
      <c r="S29" s="38"/>
      <c r="T29" s="71"/>
    </row>
    <row r="30" spans="2:20" s="4" customFormat="1" x14ac:dyDescent="0.35">
      <c r="B30" s="445" t="s">
        <v>56</v>
      </c>
      <c r="C30" s="433">
        <f>SUM(C9:C29)</f>
        <v>26304</v>
      </c>
      <c r="D30" s="433">
        <f>SUM(D9:D29)</f>
        <v>18826</v>
      </c>
      <c r="E30" s="433">
        <f>SUM(E9:E29)</f>
        <v>15403</v>
      </c>
      <c r="F30" s="433">
        <f>SUM(F9:F29)</f>
        <v>10536</v>
      </c>
      <c r="G30" s="433">
        <f>SUM(G9:G29)</f>
        <v>8495</v>
      </c>
      <c r="H30" s="446">
        <f>TRUNC(SUM(H9:H29),2)+0.01</f>
        <v>11.65</v>
      </c>
      <c r="I30" s="62">
        <f>TRUNC(SUM(I9:I29),2)+0.01</f>
        <v>11.65</v>
      </c>
      <c r="J30" s="30">
        <f>TRUNC(SUM(J9:J29),2)+0.01</f>
        <v>11.65</v>
      </c>
      <c r="K30" s="30">
        <f>TRUNC(SUM(K9:K29),2)+0.01</f>
        <v>11.65</v>
      </c>
      <c r="L30" s="30">
        <f>TRUNC(SUM(L9:L29),2)+0.01</f>
        <v>11.65</v>
      </c>
      <c r="M30" s="186"/>
      <c r="N30" s="190"/>
      <c r="O30" s="62">
        <f t="shared" ref="O30:T30" si="1">SUM(O9:O29)</f>
        <v>6.6856024846799995</v>
      </c>
      <c r="P30" s="62">
        <f t="shared" si="1"/>
        <v>5.8087799999999987</v>
      </c>
      <c r="Q30" s="62">
        <f t="shared" si="1"/>
        <v>5.8087799999999987</v>
      </c>
      <c r="R30" s="62">
        <f t="shared" si="1"/>
        <v>6.6856024846799995</v>
      </c>
      <c r="S30" s="62">
        <f t="shared" si="1"/>
        <v>5.8087799999999987</v>
      </c>
      <c r="T30" s="467">
        <f t="shared" si="1"/>
        <v>5.59</v>
      </c>
    </row>
    <row r="31" spans="2:20" s="4" customFormat="1" x14ac:dyDescent="0.35">
      <c r="B31" s="445" t="s">
        <v>475</v>
      </c>
      <c r="C31" s="433"/>
      <c r="D31" s="433"/>
      <c r="E31" s="433"/>
      <c r="F31" s="433"/>
      <c r="G31" s="433"/>
      <c r="H31" s="446"/>
      <c r="I31" s="62"/>
      <c r="J31" s="62"/>
      <c r="K31" s="30"/>
      <c r="L31" s="30"/>
      <c r="M31" s="186">
        <f>M10</f>
        <v>6.6959999999999997</v>
      </c>
      <c r="N31" s="467">
        <f>N10</f>
        <v>6.6959999999999997</v>
      </c>
      <c r="O31" s="62"/>
      <c r="P31" s="62"/>
      <c r="Q31" s="62"/>
      <c r="R31" s="62"/>
      <c r="S31" s="62"/>
      <c r="T31" s="467"/>
    </row>
    <row r="32" spans="2:20" s="4" customFormat="1" x14ac:dyDescent="0.35">
      <c r="B32" s="445" t="s">
        <v>476</v>
      </c>
      <c r="C32" s="433"/>
      <c r="D32" s="433"/>
      <c r="E32" s="433"/>
      <c r="F32" s="433"/>
      <c r="G32" s="433"/>
      <c r="H32" s="446"/>
      <c r="I32" s="62"/>
      <c r="J32" s="62"/>
      <c r="K32" s="30"/>
      <c r="L32" s="30"/>
      <c r="M32" s="186">
        <f>M11</f>
        <v>5.8271499999999987</v>
      </c>
      <c r="N32" s="467">
        <f>N11</f>
        <v>5.8271499999999987</v>
      </c>
      <c r="O32" s="62"/>
      <c r="P32" s="62"/>
      <c r="Q32" s="62"/>
      <c r="R32" s="62"/>
      <c r="S32" s="62"/>
      <c r="T32" s="467"/>
    </row>
    <row r="33" spans="2:20" ht="15.5" x14ac:dyDescent="0.35">
      <c r="B33" s="447" t="s">
        <v>445</v>
      </c>
      <c r="C33" s="6"/>
      <c r="H33" s="2"/>
      <c r="M33" s="109"/>
      <c r="N33" s="111"/>
      <c r="O33" s="6"/>
      <c r="P33" s="6"/>
      <c r="Q33" s="6"/>
      <c r="R33" s="6"/>
      <c r="S33" s="6"/>
      <c r="T33" s="71"/>
    </row>
    <row r="34" spans="2:20" outlineLevel="1" x14ac:dyDescent="0.35">
      <c r="B34" s="441" t="s">
        <v>53</v>
      </c>
      <c r="C34" s="41">
        <v>4954</v>
      </c>
      <c r="D34" s="41">
        <v>3546</v>
      </c>
      <c r="E34" s="41">
        <v>2901</v>
      </c>
      <c r="F34" s="42">
        <v>1985</v>
      </c>
      <c r="G34" s="42">
        <v>1600</v>
      </c>
      <c r="H34" s="442">
        <v>2.38</v>
      </c>
      <c r="I34" s="200">
        <f t="shared" ref="I34:L39" si="2">$H34</f>
        <v>2.38</v>
      </c>
      <c r="J34" s="200">
        <f t="shared" si="2"/>
        <v>2.38</v>
      </c>
      <c r="K34" s="38">
        <f t="shared" si="2"/>
        <v>2.38</v>
      </c>
      <c r="L34" s="38">
        <f t="shared" si="2"/>
        <v>2.38</v>
      </c>
      <c r="M34" s="477">
        <v>0</v>
      </c>
      <c r="N34" s="469">
        <v>0</v>
      </c>
      <c r="O34" s="468"/>
      <c r="P34" s="468"/>
      <c r="Q34" s="468"/>
      <c r="R34" s="468"/>
      <c r="S34" s="468"/>
      <c r="T34" s="71"/>
    </row>
    <row r="35" spans="2:20" outlineLevel="1" x14ac:dyDescent="0.35">
      <c r="B35" s="441" t="s">
        <v>54</v>
      </c>
      <c r="C35" s="41">
        <v>4207</v>
      </c>
      <c r="D35" s="42">
        <v>3011</v>
      </c>
      <c r="E35" s="42">
        <v>2464</v>
      </c>
      <c r="F35" s="42">
        <v>1686</v>
      </c>
      <c r="G35" s="42">
        <v>1359</v>
      </c>
      <c r="H35" s="442">
        <v>2.0299999999999998</v>
      </c>
      <c r="I35" s="38">
        <f t="shared" si="2"/>
        <v>2.0299999999999998</v>
      </c>
      <c r="J35" s="38">
        <f t="shared" si="2"/>
        <v>2.0299999999999998</v>
      </c>
      <c r="K35" s="38">
        <f t="shared" si="2"/>
        <v>2.0299999999999998</v>
      </c>
      <c r="L35" s="38">
        <f t="shared" si="2"/>
        <v>2.0299999999999998</v>
      </c>
      <c r="M35" s="187">
        <f>L35</f>
        <v>2.0299999999999998</v>
      </c>
      <c r="N35" s="174">
        <f>L35</f>
        <v>2.0299999999999998</v>
      </c>
      <c r="O35" s="38">
        <f>$H$35</f>
        <v>2.0299999999999998</v>
      </c>
      <c r="P35" s="38">
        <f>$H$35</f>
        <v>2.0299999999999998</v>
      </c>
      <c r="Q35" s="38"/>
      <c r="R35" s="38">
        <f>$H$35</f>
        <v>2.0299999999999998</v>
      </c>
      <c r="S35" s="38">
        <f>$H$35</f>
        <v>2.0299999999999998</v>
      </c>
      <c r="T35" s="71"/>
    </row>
    <row r="36" spans="2:20" outlineLevel="1" x14ac:dyDescent="0.35">
      <c r="B36" s="441" t="s">
        <v>55</v>
      </c>
      <c r="C36" s="41">
        <v>5627</v>
      </c>
      <c r="D36" s="42">
        <v>4028</v>
      </c>
      <c r="E36" s="42">
        <v>3295</v>
      </c>
      <c r="F36" s="42">
        <v>2254</v>
      </c>
      <c r="G36" s="42">
        <v>1818</v>
      </c>
      <c r="H36" s="442">
        <v>2.71</v>
      </c>
      <c r="I36" s="38">
        <f t="shared" si="2"/>
        <v>2.71</v>
      </c>
      <c r="J36" s="38">
        <f t="shared" si="2"/>
        <v>2.71</v>
      </c>
      <c r="K36" s="38">
        <f t="shared" si="2"/>
        <v>2.71</v>
      </c>
      <c r="L36" s="38">
        <f t="shared" si="2"/>
        <v>2.71</v>
      </c>
      <c r="M36" s="187">
        <f>L36</f>
        <v>2.71</v>
      </c>
      <c r="N36" s="174">
        <f>L36</f>
        <v>2.71</v>
      </c>
      <c r="O36" s="38">
        <f>$H$36</f>
        <v>2.71</v>
      </c>
      <c r="P36" s="38">
        <f>$H$36</f>
        <v>2.71</v>
      </c>
      <c r="Q36" s="38"/>
      <c r="R36" s="38">
        <f>$H$36</f>
        <v>2.71</v>
      </c>
      <c r="S36" s="38">
        <f>$H$36</f>
        <v>2.71</v>
      </c>
      <c r="T36" s="71"/>
    </row>
    <row r="37" spans="2:20" ht="15.5" x14ac:dyDescent="0.35">
      <c r="B37" s="448" t="s">
        <v>446</v>
      </c>
      <c r="C37" s="41"/>
      <c r="F37" s="42"/>
      <c r="H37" s="2"/>
      <c r="M37" s="70"/>
      <c r="N37" s="71"/>
      <c r="O37" s="6"/>
      <c r="P37" s="6"/>
      <c r="Q37" s="6"/>
      <c r="R37" s="6"/>
      <c r="S37" s="6"/>
      <c r="T37" s="71"/>
    </row>
    <row r="38" spans="2:20" ht="29" outlineLevel="1" x14ac:dyDescent="0.35">
      <c r="B38" s="449" t="s">
        <v>59</v>
      </c>
      <c r="C38" s="41">
        <v>4103</v>
      </c>
      <c r="D38" s="42">
        <v>2937</v>
      </c>
      <c r="E38" s="42">
        <v>2403</v>
      </c>
      <c r="F38" s="42">
        <v>1644</v>
      </c>
      <c r="G38" s="42">
        <v>1325</v>
      </c>
      <c r="H38" s="450">
        <v>0</v>
      </c>
      <c r="I38" s="38"/>
      <c r="J38" s="38"/>
      <c r="K38" s="38"/>
      <c r="L38" s="38"/>
      <c r="M38" s="187">
        <f>L38*0.75</f>
        <v>0</v>
      </c>
      <c r="N38" s="174">
        <f>L38</f>
        <v>0</v>
      </c>
      <c r="O38" s="38">
        <f>$H$38</f>
        <v>0</v>
      </c>
      <c r="P38" s="38"/>
      <c r="Q38" s="38"/>
      <c r="R38" s="38">
        <f>$H$38</f>
        <v>0</v>
      </c>
      <c r="S38" s="38"/>
      <c r="T38" s="71"/>
    </row>
    <row r="39" spans="2:20" ht="29" outlineLevel="1" x14ac:dyDescent="0.35">
      <c r="B39" s="449" t="s">
        <v>60</v>
      </c>
      <c r="C39" s="197">
        <v>10872</v>
      </c>
      <c r="D39" s="41">
        <v>7782</v>
      </c>
      <c r="E39" s="41">
        <v>6367</v>
      </c>
      <c r="F39" s="41">
        <v>4355</v>
      </c>
      <c r="G39" s="41">
        <v>3512</v>
      </c>
      <c r="H39" s="442">
        <v>2.2400000000000002</v>
      </c>
      <c r="I39" s="38">
        <f t="shared" si="2"/>
        <v>2.2400000000000002</v>
      </c>
      <c r="J39" s="38">
        <f t="shared" si="2"/>
        <v>2.2400000000000002</v>
      </c>
      <c r="K39" s="38">
        <f t="shared" si="2"/>
        <v>2.2400000000000002</v>
      </c>
      <c r="L39" s="38">
        <f t="shared" si="2"/>
        <v>2.2400000000000002</v>
      </c>
      <c r="M39" s="187">
        <f>L39</f>
        <v>2.2400000000000002</v>
      </c>
      <c r="N39" s="174">
        <f>L39</f>
        <v>2.2400000000000002</v>
      </c>
      <c r="O39" s="38"/>
      <c r="P39" s="38">
        <f>$H$39</f>
        <v>2.2400000000000002</v>
      </c>
      <c r="Q39" s="38"/>
      <c r="R39" s="38"/>
      <c r="S39" s="38">
        <f>$H$39</f>
        <v>2.2400000000000002</v>
      </c>
      <c r="T39" s="71"/>
    </row>
    <row r="40" spans="2:20" s="4" customFormat="1" x14ac:dyDescent="0.35">
      <c r="B40" s="445" t="s">
        <v>57</v>
      </c>
      <c r="C40" s="196">
        <f>TRUNC(SUM(C34:C38),0)</f>
        <v>18891</v>
      </c>
      <c r="D40" s="433">
        <f>TRUNC(SUM(D34:D38),0)</f>
        <v>13522</v>
      </c>
      <c r="E40" s="433">
        <f>TRUNC(SUM(E34:E38),0)</f>
        <v>11063</v>
      </c>
      <c r="F40" s="433">
        <f>TRUNC(SUM(F34:F38),0)</f>
        <v>7569</v>
      </c>
      <c r="G40" s="433">
        <f>TRUNC(SUM(G34:G38),0)</f>
        <v>6102</v>
      </c>
      <c r="H40" s="451">
        <f t="shared" ref="H40:N40" si="3">TRUNC(SUM(H34:H38),2)</f>
        <v>7.12</v>
      </c>
      <c r="I40" s="39">
        <f t="shared" si="3"/>
        <v>7.12</v>
      </c>
      <c r="J40" s="39">
        <f t="shared" si="3"/>
        <v>7.12</v>
      </c>
      <c r="K40" s="39">
        <f t="shared" si="3"/>
        <v>7.12</v>
      </c>
      <c r="L40" s="39">
        <f t="shared" si="3"/>
        <v>7.12</v>
      </c>
      <c r="M40" s="188">
        <f t="shared" si="3"/>
        <v>4.74</v>
      </c>
      <c r="N40" s="191">
        <f t="shared" si="3"/>
        <v>4.74</v>
      </c>
      <c r="O40" s="39">
        <f>O34+O35+O36+O38</f>
        <v>4.74</v>
      </c>
      <c r="P40" s="470"/>
      <c r="Q40" s="39"/>
      <c r="R40" s="39">
        <f>R34+R35+R36+R38</f>
        <v>4.74</v>
      </c>
      <c r="S40" s="470"/>
      <c r="T40" s="191"/>
    </row>
    <row r="41" spans="2:20" s="4" customFormat="1" x14ac:dyDescent="0.35">
      <c r="B41" s="445" t="s">
        <v>58</v>
      </c>
      <c r="C41" s="196">
        <f>TRUNC(SUM(C34:C36)+C39,0)</f>
        <v>25660</v>
      </c>
      <c r="D41" s="433">
        <f>TRUNC(SUM(D34:D36)+D39,0)</f>
        <v>18367</v>
      </c>
      <c r="E41" s="433">
        <f>TRUNC(SUM(E34:E36)+E39,0)</f>
        <v>15027</v>
      </c>
      <c r="F41" s="433">
        <f>TRUNC(SUM(F34:F36)+F39,0)</f>
        <v>10280</v>
      </c>
      <c r="G41" s="433">
        <f>TRUNC(SUM(G34:G36)+G39,0)</f>
        <v>8289</v>
      </c>
      <c r="H41" s="451">
        <f t="shared" ref="H41:N41" si="4">TRUNC(SUM(H34:H36)+H39,2)</f>
        <v>9.36</v>
      </c>
      <c r="I41" s="39">
        <f t="shared" si="4"/>
        <v>9.36</v>
      </c>
      <c r="J41" s="39">
        <f t="shared" si="4"/>
        <v>9.36</v>
      </c>
      <c r="K41" s="39">
        <f t="shared" si="4"/>
        <v>9.36</v>
      </c>
      <c r="L41" s="39">
        <f t="shared" si="4"/>
        <v>9.36</v>
      </c>
      <c r="M41" s="188">
        <f t="shared" si="4"/>
        <v>6.98</v>
      </c>
      <c r="N41" s="191">
        <f t="shared" si="4"/>
        <v>6.98</v>
      </c>
      <c r="O41" s="470"/>
      <c r="P41" s="39">
        <f>P34+P35+P36+P39</f>
        <v>6.98</v>
      </c>
      <c r="Q41" s="39">
        <f>Q34+Q35+Q36+Q39</f>
        <v>0</v>
      </c>
      <c r="R41" s="470"/>
      <c r="S41" s="39">
        <f>S34+S35+S36+S39</f>
        <v>6.98</v>
      </c>
      <c r="T41" s="191">
        <f>T34+T35+T36+T39</f>
        <v>0</v>
      </c>
    </row>
    <row r="42" spans="2:20" x14ac:dyDescent="0.35">
      <c r="B42" s="452"/>
      <c r="C42" s="70"/>
      <c r="H42" s="2"/>
      <c r="M42" s="70"/>
      <c r="N42" s="71"/>
      <c r="O42" s="6"/>
      <c r="P42" s="6"/>
      <c r="Q42" s="6"/>
      <c r="R42" s="6"/>
      <c r="S42" s="6"/>
      <c r="T42" s="71"/>
    </row>
    <row r="43" spans="2:20" s="4" customFormat="1" ht="29" x14ac:dyDescent="0.35">
      <c r="B43" s="453" t="s">
        <v>469</v>
      </c>
      <c r="C43" s="199">
        <f>TRUNC(C30+C40,0)</f>
        <v>45195</v>
      </c>
      <c r="D43" s="434">
        <f>TRUNC(D30+D40,0)</f>
        <v>32348</v>
      </c>
      <c r="E43" s="434">
        <f>TRUNC(E30+E40,0)</f>
        <v>26466</v>
      </c>
      <c r="F43" s="434">
        <f>TRUNC(F30+F40,0)</f>
        <v>18105</v>
      </c>
      <c r="G43" s="434">
        <f>TRUNC(G30+G40,0)</f>
        <v>14597</v>
      </c>
      <c r="H43" s="454">
        <f>TRUNC(H30+H40,2)</f>
        <v>18.77</v>
      </c>
      <c r="I43" s="39">
        <f>TRUNC(I30+I40,2)</f>
        <v>18.77</v>
      </c>
      <c r="J43" s="39">
        <f>TRUNC(J30+J40,2)</f>
        <v>18.77</v>
      </c>
      <c r="K43" s="31">
        <f>TRUNC(K30+K40,2)</f>
        <v>18.77</v>
      </c>
      <c r="L43" s="31">
        <f>TRUNC(L30+L40,2)</f>
        <v>18.77</v>
      </c>
      <c r="M43" s="188">
        <f>ROUND(M31+M40,2)</f>
        <v>11.44</v>
      </c>
      <c r="N43" s="191">
        <f>ROUND(N31+N40,2)</f>
        <v>11.44</v>
      </c>
      <c r="O43" s="39">
        <f>O30+O40</f>
        <v>11.425602484679999</v>
      </c>
      <c r="P43" s="470"/>
      <c r="Q43" s="39"/>
      <c r="R43" s="39">
        <f>R30+R40</f>
        <v>11.425602484679999</v>
      </c>
      <c r="S43" s="470"/>
      <c r="T43" s="191"/>
    </row>
    <row r="44" spans="2:20" s="4" customFormat="1" ht="29" x14ac:dyDescent="0.35">
      <c r="B44" s="453" t="s">
        <v>470</v>
      </c>
      <c r="C44" s="199">
        <f>TRUNC(C30+C41,0)</f>
        <v>51964</v>
      </c>
      <c r="D44" s="434">
        <f>TRUNC(D30+D41,0)</f>
        <v>37193</v>
      </c>
      <c r="E44" s="434">
        <f>TRUNC(E30+E41,0)</f>
        <v>30430</v>
      </c>
      <c r="F44" s="434">
        <f>TRUNC(F30+F41,0)</f>
        <v>20816</v>
      </c>
      <c r="G44" s="434">
        <f>TRUNC(G30+G41,0)</f>
        <v>16784</v>
      </c>
      <c r="H44" s="454">
        <f>TRUNC(H30+H41,2)</f>
        <v>21.01</v>
      </c>
      <c r="I44" s="435">
        <f>TRUNC(I30+I41,2)</f>
        <v>21.01</v>
      </c>
      <c r="J44" s="31">
        <f>TRUNC(J30+J41,2)</f>
        <v>21.01</v>
      </c>
      <c r="K44" s="31">
        <f>TRUNC(K30+K41,2)</f>
        <v>21.01</v>
      </c>
      <c r="L44" s="31">
        <f>TRUNC(L30+L41,2)</f>
        <v>21.01</v>
      </c>
      <c r="M44" s="476">
        <f>ROUND(M32+M41,2)</f>
        <v>12.81</v>
      </c>
      <c r="N44" s="194">
        <f>ROUND(N32+N41,2)</f>
        <v>12.81</v>
      </c>
      <c r="O44" s="470"/>
      <c r="P44" s="39">
        <f>P30+P41</f>
        <v>12.788779999999999</v>
      </c>
      <c r="Q44" s="31"/>
      <c r="R44" s="470"/>
      <c r="S44" s="39">
        <f>S30+S41</f>
        <v>12.788779999999999</v>
      </c>
      <c r="T44" s="194"/>
    </row>
    <row r="45" spans="2:20" x14ac:dyDescent="0.35">
      <c r="B45" s="452"/>
      <c r="C45" s="70"/>
      <c r="H45" s="2"/>
      <c r="M45" s="70"/>
      <c r="N45" s="71"/>
      <c r="O45" s="6"/>
      <c r="P45" s="6"/>
      <c r="Q45" s="6"/>
      <c r="R45" s="6"/>
      <c r="S45" s="6"/>
      <c r="T45" s="71"/>
    </row>
    <row r="46" spans="2:20" ht="15.5" x14ac:dyDescent="0.35">
      <c r="B46" s="440" t="s">
        <v>24</v>
      </c>
      <c r="C46" s="70"/>
      <c r="H46" s="2"/>
      <c r="L46" s="71"/>
      <c r="O46" s="70"/>
      <c r="P46" s="6"/>
      <c r="Q46" s="6"/>
      <c r="R46" s="6"/>
      <c r="S46" s="6"/>
      <c r="T46" s="71"/>
    </row>
    <row r="47" spans="2:20" x14ac:dyDescent="0.35">
      <c r="B47" s="1" t="s">
        <v>25</v>
      </c>
      <c r="C47" s="198">
        <v>273</v>
      </c>
      <c r="D47" s="75">
        <v>196</v>
      </c>
      <c r="E47" s="75">
        <v>169</v>
      </c>
      <c r="F47" s="76">
        <v>113</v>
      </c>
      <c r="G47" s="75">
        <v>89</v>
      </c>
      <c r="H47" s="444">
        <v>0</v>
      </c>
      <c r="I47" s="179">
        <f t="shared" ref="I47:L49" si="5">$H47</f>
        <v>0</v>
      </c>
      <c r="J47" s="179">
        <f t="shared" si="5"/>
        <v>0</v>
      </c>
      <c r="K47" s="183">
        <f t="shared" si="5"/>
        <v>0</v>
      </c>
      <c r="L47" s="192">
        <f t="shared" si="5"/>
        <v>0</v>
      </c>
      <c r="M47" s="179">
        <v>0</v>
      </c>
      <c r="N47" s="179">
        <v>0</v>
      </c>
      <c r="O47" s="472">
        <v>0</v>
      </c>
      <c r="P47" s="179">
        <v>0</v>
      </c>
      <c r="Q47" s="179"/>
      <c r="R47" s="179">
        <v>0</v>
      </c>
      <c r="S47" s="179">
        <v>0</v>
      </c>
      <c r="T47" s="473"/>
    </row>
    <row r="48" spans="2:20" x14ac:dyDescent="0.35">
      <c r="B48" s="1" t="s">
        <v>26</v>
      </c>
      <c r="C48" s="198">
        <v>1573</v>
      </c>
      <c r="D48" s="75">
        <v>1573</v>
      </c>
      <c r="E48" s="75">
        <v>1573</v>
      </c>
      <c r="F48" s="76">
        <v>1573</v>
      </c>
      <c r="G48" s="75">
        <v>1573</v>
      </c>
      <c r="H48" s="2">
        <v>0.43</v>
      </c>
      <c r="I48" s="9">
        <f t="shared" si="5"/>
        <v>0.43</v>
      </c>
      <c r="J48" s="9">
        <f t="shared" si="5"/>
        <v>0.43</v>
      </c>
      <c r="K48" s="9">
        <f t="shared" si="5"/>
        <v>0.43</v>
      </c>
      <c r="L48" s="193">
        <f t="shared" si="5"/>
        <v>0.43</v>
      </c>
      <c r="M48" s="9">
        <f t="shared" ref="M48:P49" si="6">$H48</f>
        <v>0.43</v>
      </c>
      <c r="N48" s="9">
        <f t="shared" si="6"/>
        <v>0.43</v>
      </c>
      <c r="O48" s="474">
        <f t="shared" si="6"/>
        <v>0.43</v>
      </c>
      <c r="P48" s="9">
        <f t="shared" si="6"/>
        <v>0.43</v>
      </c>
      <c r="Q48" s="9"/>
      <c r="R48" s="9">
        <f>$H48</f>
        <v>0.43</v>
      </c>
      <c r="S48" s="9">
        <f>$H48</f>
        <v>0.43</v>
      </c>
      <c r="T48" s="193"/>
    </row>
    <row r="49" spans="2:20" x14ac:dyDescent="0.35">
      <c r="B49" s="1" t="s">
        <v>27</v>
      </c>
      <c r="C49" s="198">
        <v>1101</v>
      </c>
      <c r="D49" s="75">
        <v>1101</v>
      </c>
      <c r="E49" s="75">
        <v>1101</v>
      </c>
      <c r="F49" s="76">
        <v>1101</v>
      </c>
      <c r="G49" s="75">
        <v>1101</v>
      </c>
      <c r="H49" s="2">
        <v>0.35</v>
      </c>
      <c r="I49" s="9">
        <f t="shared" si="5"/>
        <v>0.35</v>
      </c>
      <c r="J49" s="9">
        <f t="shared" si="5"/>
        <v>0.35</v>
      </c>
      <c r="K49" s="9">
        <f t="shared" si="5"/>
        <v>0.35</v>
      </c>
      <c r="L49" s="193">
        <f t="shared" si="5"/>
        <v>0.35</v>
      </c>
      <c r="M49" s="9">
        <f t="shared" si="6"/>
        <v>0.35</v>
      </c>
      <c r="N49" s="9">
        <f t="shared" si="6"/>
        <v>0.35</v>
      </c>
      <c r="O49" s="474">
        <f t="shared" si="6"/>
        <v>0.35</v>
      </c>
      <c r="P49" s="9">
        <f t="shared" si="6"/>
        <v>0.35</v>
      </c>
      <c r="Q49" s="9"/>
      <c r="R49" s="9">
        <f>$H49</f>
        <v>0.35</v>
      </c>
      <c r="S49" s="9">
        <f>$H49</f>
        <v>0.35</v>
      </c>
      <c r="T49" s="193"/>
    </row>
    <row r="50" spans="2:20" s="4" customFormat="1" ht="53.25" customHeight="1" x14ac:dyDescent="0.35">
      <c r="B50" s="453" t="s">
        <v>453</v>
      </c>
      <c r="C50" s="199">
        <f>TRUNC(C43+SUM(C47:C49),0)</f>
        <v>48142</v>
      </c>
      <c r="D50" s="434">
        <f>TRUNC(D43+SUM(D47:D49),0)</f>
        <v>35218</v>
      </c>
      <c r="E50" s="434">
        <f>TRUNC(E43+SUM(E47:E49),0)</f>
        <v>29309</v>
      </c>
      <c r="F50" s="434">
        <f>TRUNC(F43+SUM(F47:F49),0)</f>
        <v>20892</v>
      </c>
      <c r="G50" s="434">
        <f>TRUNC(G43+SUM(G47:G49),0)</f>
        <v>17360</v>
      </c>
      <c r="H50" s="446">
        <f t="shared" ref="H50:O50" si="7">TRUNC(H43+SUM(H47:H49),2)</f>
        <v>19.55</v>
      </c>
      <c r="I50" s="31">
        <f t="shared" si="7"/>
        <v>19.55</v>
      </c>
      <c r="J50" s="31">
        <f t="shared" si="7"/>
        <v>19.55</v>
      </c>
      <c r="K50" s="31">
        <f t="shared" si="7"/>
        <v>19.55</v>
      </c>
      <c r="L50" s="194">
        <f t="shared" si="7"/>
        <v>19.55</v>
      </c>
      <c r="M50" s="31">
        <f t="shared" si="7"/>
        <v>12.22</v>
      </c>
      <c r="N50" s="31">
        <f t="shared" si="7"/>
        <v>12.22</v>
      </c>
      <c r="O50" s="189">
        <f t="shared" si="7"/>
        <v>12.2</v>
      </c>
      <c r="P50" s="470"/>
      <c r="Q50" s="31"/>
      <c r="R50" s="31">
        <f>TRUNC(R43+SUM(R47:R49),2)</f>
        <v>12.2</v>
      </c>
      <c r="S50" s="470"/>
      <c r="T50" s="194"/>
    </row>
    <row r="51" spans="2:20" s="4" customFormat="1" ht="53.25" customHeight="1" x14ac:dyDescent="0.35">
      <c r="B51" s="453" t="s">
        <v>454</v>
      </c>
      <c r="C51" s="199">
        <f>TRUNC(C44+SUM(C47:C49),0)</f>
        <v>54911</v>
      </c>
      <c r="D51" s="434">
        <f>TRUNC(D44+SUM(D47:D49),0)</f>
        <v>40063</v>
      </c>
      <c r="E51" s="434">
        <f>TRUNC(E44+SUM(E47:E49),0)</f>
        <v>33273</v>
      </c>
      <c r="F51" s="434">
        <f>TRUNC(F44+SUM(F47:F49),0)</f>
        <v>23603</v>
      </c>
      <c r="G51" s="434">
        <f>TRUNC(G44+SUM(G47:G49),0)</f>
        <v>19547</v>
      </c>
      <c r="H51" s="446">
        <f t="shared" ref="H51:N51" si="8">TRUNC(H44+SUM(H47:H49),2)</f>
        <v>21.79</v>
      </c>
      <c r="I51" s="31">
        <f t="shared" si="8"/>
        <v>21.79</v>
      </c>
      <c r="J51" s="31">
        <f t="shared" si="8"/>
        <v>21.79</v>
      </c>
      <c r="K51" s="31">
        <f t="shared" si="8"/>
        <v>21.79</v>
      </c>
      <c r="L51" s="194">
        <f t="shared" si="8"/>
        <v>21.79</v>
      </c>
      <c r="M51" s="31">
        <f t="shared" si="8"/>
        <v>13.59</v>
      </c>
      <c r="N51" s="31">
        <f t="shared" si="8"/>
        <v>13.59</v>
      </c>
      <c r="O51" s="471"/>
      <c r="P51" s="31">
        <f>TRUNC(P44+SUM(P47:P49),2)</f>
        <v>13.56</v>
      </c>
      <c r="Q51" s="31"/>
      <c r="R51" s="470"/>
      <c r="S51" s="31">
        <f>TRUNC(S44+SUM(S47:S49),2)</f>
        <v>13.56</v>
      </c>
      <c r="T51" s="194"/>
    </row>
    <row r="52" spans="2:20" x14ac:dyDescent="0.35">
      <c r="B52" s="1"/>
      <c r="C52" s="70"/>
      <c r="H52" s="2"/>
      <c r="L52" s="71"/>
      <c r="O52" s="70"/>
      <c r="P52" s="6"/>
      <c r="Q52" s="6"/>
      <c r="R52" s="6"/>
      <c r="S52" s="6"/>
      <c r="T52" s="71"/>
    </row>
    <row r="53" spans="2:20" ht="15.5" x14ac:dyDescent="0.35">
      <c r="B53" s="440" t="s">
        <v>28</v>
      </c>
      <c r="C53" s="197"/>
      <c r="D53" s="41"/>
      <c r="E53" s="41"/>
      <c r="F53" s="41"/>
      <c r="G53" s="41"/>
      <c r="H53" s="2"/>
      <c r="L53" s="71"/>
      <c r="O53" s="70"/>
      <c r="P53" s="6"/>
      <c r="Q53" s="6"/>
      <c r="R53" s="6"/>
      <c r="S53" s="6"/>
      <c r="T53" s="71"/>
    </row>
    <row r="54" spans="2:20" x14ac:dyDescent="0.35">
      <c r="B54" s="1" t="s">
        <v>29</v>
      </c>
      <c r="C54" s="197">
        <v>1971</v>
      </c>
      <c r="D54" s="41">
        <v>1410</v>
      </c>
      <c r="E54" s="41">
        <v>1154</v>
      </c>
      <c r="F54" s="42">
        <v>789</v>
      </c>
      <c r="G54" s="42">
        <v>637</v>
      </c>
      <c r="H54" s="455">
        <v>1.04</v>
      </c>
      <c r="I54" s="63">
        <f>$H54</f>
        <v>1.04</v>
      </c>
      <c r="J54" s="63">
        <f>$H54</f>
        <v>1.04</v>
      </c>
      <c r="K54" s="63">
        <f>$H54</f>
        <v>1.04</v>
      </c>
      <c r="L54" s="111">
        <f>$H54</f>
        <v>1.04</v>
      </c>
      <c r="M54" s="63">
        <v>1.04</v>
      </c>
      <c r="N54" s="63">
        <v>1.04</v>
      </c>
      <c r="O54" s="109">
        <v>1.04</v>
      </c>
      <c r="P54" s="63">
        <v>1.04</v>
      </c>
      <c r="Q54" s="63"/>
      <c r="R54" s="63">
        <v>1.04</v>
      </c>
      <c r="S54" s="63">
        <v>1.04</v>
      </c>
      <c r="T54" s="111"/>
    </row>
    <row r="55" spans="2:20" s="4" customFormat="1" ht="53.25" customHeight="1" x14ac:dyDescent="0.35">
      <c r="B55" s="453" t="s">
        <v>459</v>
      </c>
      <c r="C55" s="199">
        <f>TRUNC(C50+C54,0)</f>
        <v>50113</v>
      </c>
      <c r="D55" s="434">
        <f>TRUNC(D50+D54,0)</f>
        <v>36628</v>
      </c>
      <c r="E55" s="434">
        <f>TRUNC(E50+E54,0)</f>
        <v>30463</v>
      </c>
      <c r="F55" s="434">
        <f>TRUNC(F50+F54,0)</f>
        <v>21681</v>
      </c>
      <c r="G55" s="434">
        <f>TRUNC(G50+G54,0)</f>
        <v>17997</v>
      </c>
      <c r="H55" s="446">
        <f t="shared" ref="H55:O55" si="9">TRUNC(H50+H54,2)</f>
        <v>20.59</v>
      </c>
      <c r="I55" s="31">
        <f t="shared" si="9"/>
        <v>20.59</v>
      </c>
      <c r="J55" s="31">
        <f t="shared" si="9"/>
        <v>20.59</v>
      </c>
      <c r="K55" s="31">
        <f t="shared" si="9"/>
        <v>20.59</v>
      </c>
      <c r="L55" s="194">
        <f t="shared" si="9"/>
        <v>20.59</v>
      </c>
      <c r="M55" s="31">
        <f t="shared" si="9"/>
        <v>13.26</v>
      </c>
      <c r="N55" s="31">
        <f t="shared" si="9"/>
        <v>13.26</v>
      </c>
      <c r="O55" s="189">
        <f t="shared" si="9"/>
        <v>13.24</v>
      </c>
      <c r="P55" s="31"/>
      <c r="Q55" s="31"/>
      <c r="R55" s="31">
        <f>TRUNC(R50+R54,2)</f>
        <v>13.24</v>
      </c>
      <c r="S55" s="31"/>
      <c r="T55" s="194"/>
    </row>
    <row r="56" spans="2:20" s="4" customFormat="1" ht="53.25" customHeight="1" thickBot="1" x14ac:dyDescent="0.4">
      <c r="B56" s="456" t="s">
        <v>460</v>
      </c>
      <c r="C56" s="457">
        <f>TRUNC(C51+C54,0)</f>
        <v>56882</v>
      </c>
      <c r="D56" s="458">
        <f>TRUNC(D51+D54,0)</f>
        <v>41473</v>
      </c>
      <c r="E56" s="458">
        <f>TRUNC(E51+E54,0)</f>
        <v>34427</v>
      </c>
      <c r="F56" s="458">
        <f>TRUNC(F51+F54,0)</f>
        <v>24392</v>
      </c>
      <c r="G56" s="458">
        <f>TRUNC(G51+G54,0)</f>
        <v>20184</v>
      </c>
      <c r="H56" s="459">
        <f t="shared" ref="H56:N56" si="10">TRUNC(H51+H54,2)</f>
        <v>22.83</v>
      </c>
      <c r="I56" s="31">
        <f t="shared" si="10"/>
        <v>22.83</v>
      </c>
      <c r="J56" s="31">
        <f t="shared" si="10"/>
        <v>22.83</v>
      </c>
      <c r="K56" s="31">
        <f t="shared" si="10"/>
        <v>22.83</v>
      </c>
      <c r="L56" s="194">
        <f t="shared" si="10"/>
        <v>22.83</v>
      </c>
      <c r="M56" s="31">
        <f t="shared" si="10"/>
        <v>14.63</v>
      </c>
      <c r="N56" s="31">
        <f t="shared" si="10"/>
        <v>14.63</v>
      </c>
      <c r="O56" s="189"/>
      <c r="P56" s="31">
        <f>P51+P54</f>
        <v>14.600000000000001</v>
      </c>
      <c r="Q56" s="31"/>
      <c r="R56" s="31"/>
      <c r="S56" s="31">
        <f>S51+S54</f>
        <v>14.600000000000001</v>
      </c>
      <c r="T56" s="194"/>
    </row>
    <row r="57" spans="2:20" x14ac:dyDescent="0.35">
      <c r="C57" s="25"/>
      <c r="D57" s="41"/>
      <c r="E57" s="41"/>
      <c r="F57" s="42"/>
      <c r="G57" s="42"/>
      <c r="H57" s="63"/>
      <c r="I57" s="63"/>
      <c r="J57" s="63"/>
      <c r="K57" s="63"/>
      <c r="L57" s="63"/>
      <c r="M57" s="63"/>
      <c r="N57" s="63"/>
    </row>
    <row r="58" spans="2:20" x14ac:dyDescent="0.35">
      <c r="C58" s="25"/>
      <c r="D58" s="41"/>
      <c r="E58" s="41"/>
      <c r="F58" s="42"/>
      <c r="G58" s="42"/>
      <c r="H58" s="63"/>
      <c r="I58" s="63"/>
      <c r="J58" s="63"/>
      <c r="K58" s="63"/>
      <c r="L58" s="63"/>
      <c r="M58" s="63"/>
      <c r="N58" s="63"/>
    </row>
    <row r="59" spans="2:20" x14ac:dyDescent="0.35">
      <c r="C59" s="25"/>
      <c r="D59" s="41"/>
      <c r="E59" s="41"/>
      <c r="F59" s="42"/>
      <c r="G59" s="42"/>
      <c r="H59" s="63"/>
      <c r="I59" s="63"/>
      <c r="J59" s="63"/>
      <c r="K59" s="63"/>
      <c r="L59" s="63"/>
      <c r="M59" s="63"/>
      <c r="N59" s="63"/>
    </row>
    <row r="60" spans="2:20" x14ac:dyDescent="0.35">
      <c r="C60" s="25"/>
      <c r="D60" s="41"/>
      <c r="E60" s="41"/>
      <c r="F60" s="42"/>
      <c r="G60" s="42"/>
      <c r="H60" s="63"/>
      <c r="I60" s="63"/>
      <c r="J60" s="63"/>
      <c r="K60" s="63"/>
      <c r="L60" s="63"/>
      <c r="M60" s="63"/>
      <c r="N60" s="63"/>
    </row>
    <row r="61" spans="2:20" x14ac:dyDescent="0.35">
      <c r="C61" s="25"/>
      <c r="D61" s="41"/>
      <c r="E61" s="41"/>
      <c r="F61" s="42"/>
      <c r="G61" s="42"/>
      <c r="H61" s="63"/>
      <c r="I61" s="63"/>
      <c r="J61" s="63"/>
      <c r="K61" s="63"/>
      <c r="L61" s="63"/>
      <c r="M61" s="63"/>
      <c r="N61" s="63"/>
    </row>
    <row r="62" spans="2:20" x14ac:dyDescent="0.35">
      <c r="C62" s="25"/>
      <c r="D62" s="41"/>
      <c r="E62" s="41"/>
      <c r="F62" s="42"/>
      <c r="G62" s="42"/>
      <c r="H62" s="463"/>
      <c r="I62" s="63"/>
      <c r="J62" s="63"/>
      <c r="K62" s="63"/>
      <c r="L62" s="63"/>
      <c r="M62" s="63"/>
      <c r="N62" s="63"/>
    </row>
    <row r="63" spans="2:20" x14ac:dyDescent="0.35">
      <c r="C63" s="25"/>
      <c r="D63" s="41"/>
      <c r="E63" s="41"/>
      <c r="F63" s="42"/>
      <c r="G63" s="42"/>
      <c r="H63" s="63"/>
      <c r="I63" s="63"/>
      <c r="J63" s="63"/>
      <c r="K63" s="63"/>
      <c r="L63" s="63"/>
      <c r="M63" s="63"/>
      <c r="N63" s="63"/>
    </row>
    <row r="64" spans="2:20" x14ac:dyDescent="0.35">
      <c r="C64" s="25"/>
      <c r="D64" s="41"/>
      <c r="E64" s="41"/>
      <c r="F64" s="42"/>
      <c r="G64" s="42"/>
      <c r="H64" s="63"/>
      <c r="I64" s="63"/>
      <c r="J64" s="63"/>
      <c r="K64" s="63"/>
      <c r="L64" s="63"/>
      <c r="M64" s="63"/>
      <c r="N64" s="63"/>
    </row>
    <row r="65" spans="3:14" x14ac:dyDescent="0.35">
      <c r="C65" s="25"/>
      <c r="D65" s="41"/>
      <c r="E65" s="41"/>
      <c r="F65" s="42"/>
      <c r="G65" s="42"/>
      <c r="H65" s="63"/>
      <c r="I65" s="63"/>
      <c r="J65" s="63"/>
      <c r="K65" s="63"/>
      <c r="L65" s="63"/>
      <c r="M65" s="63"/>
      <c r="N65" s="63"/>
    </row>
    <row r="66" spans="3:14" x14ac:dyDescent="0.35">
      <c r="C66" s="25"/>
      <c r="D66" s="41"/>
      <c r="E66" s="41"/>
      <c r="F66" s="42"/>
      <c r="G66" s="42"/>
      <c r="H66" s="63"/>
      <c r="I66" s="63"/>
      <c r="J66" s="63"/>
      <c r="K66" s="63"/>
      <c r="L66" s="63"/>
      <c r="M66" s="63"/>
      <c r="N66" s="63"/>
    </row>
    <row r="67" spans="3:14" x14ac:dyDescent="0.35">
      <c r="C67" s="25"/>
      <c r="D67" s="41"/>
      <c r="E67" s="41"/>
      <c r="F67" s="42"/>
      <c r="G67" s="42"/>
      <c r="H67" s="63"/>
      <c r="I67" s="63"/>
      <c r="J67" s="63"/>
      <c r="K67" s="63"/>
      <c r="L67" s="63"/>
      <c r="M67" s="63"/>
      <c r="N67" s="63"/>
    </row>
    <row r="68" spans="3:14" x14ac:dyDescent="0.35">
      <c r="C68" s="25"/>
      <c r="D68" s="41"/>
      <c r="E68" s="41"/>
      <c r="F68" s="42"/>
      <c r="G68" s="42"/>
      <c r="H68" s="63"/>
      <c r="I68" s="63"/>
      <c r="J68" s="63"/>
      <c r="K68" s="63"/>
      <c r="L68" s="63"/>
      <c r="M68" s="63"/>
      <c r="N68" s="63"/>
    </row>
    <row r="69" spans="3:14" x14ac:dyDescent="0.35">
      <c r="C69" s="25"/>
      <c r="D69" s="41"/>
      <c r="E69" s="41"/>
      <c r="F69" s="42"/>
      <c r="G69" s="42"/>
      <c r="H69" s="63"/>
      <c r="I69" s="63"/>
      <c r="J69" s="63"/>
      <c r="K69" s="63"/>
      <c r="L69" s="63"/>
      <c r="M69" s="63"/>
      <c r="N69" s="63"/>
    </row>
    <row r="70" spans="3:14" x14ac:dyDescent="0.35">
      <c r="C70" s="25"/>
      <c r="D70" s="41"/>
      <c r="E70" s="41"/>
      <c r="F70" s="42"/>
      <c r="G70" s="42"/>
      <c r="H70" s="63"/>
      <c r="I70" s="63"/>
      <c r="J70" s="63"/>
      <c r="K70" s="63"/>
      <c r="L70" s="63"/>
      <c r="M70" s="63"/>
      <c r="N70" s="63"/>
    </row>
    <row r="71" spans="3:14" x14ac:dyDescent="0.35">
      <c r="C71" s="25"/>
      <c r="D71" s="41"/>
      <c r="E71" s="41"/>
      <c r="F71" s="42"/>
      <c r="G71" s="42"/>
      <c r="H71" s="63"/>
      <c r="I71" s="63"/>
      <c r="J71" s="63"/>
      <c r="K71" s="63"/>
      <c r="L71" s="63"/>
      <c r="M71" s="63"/>
      <c r="N71" s="63"/>
    </row>
    <row r="72" spans="3:14" x14ac:dyDescent="0.35">
      <c r="C72" s="25"/>
      <c r="D72" s="41"/>
      <c r="E72" s="41"/>
      <c r="F72" s="42"/>
      <c r="G72" s="42"/>
      <c r="H72" s="63"/>
      <c r="I72" s="63"/>
      <c r="J72" s="63"/>
      <c r="K72" s="63"/>
      <c r="L72" s="63"/>
      <c r="M72" s="63"/>
      <c r="N72" s="63"/>
    </row>
    <row r="73" spans="3:14" x14ac:dyDescent="0.35">
      <c r="C73" s="25"/>
      <c r="D73" s="41"/>
      <c r="E73" s="41"/>
      <c r="F73" s="42"/>
      <c r="G73" s="42"/>
      <c r="H73" s="63"/>
      <c r="I73" s="63"/>
      <c r="J73" s="63"/>
      <c r="K73" s="63"/>
      <c r="L73" s="63"/>
      <c r="M73" s="63"/>
      <c r="N73" s="63"/>
    </row>
    <row r="74" spans="3:14" x14ac:dyDescent="0.35">
      <c r="C74" s="25"/>
      <c r="D74" s="41"/>
      <c r="E74" s="41"/>
      <c r="F74" s="42"/>
      <c r="G74" s="42"/>
      <c r="H74" s="63"/>
      <c r="I74" s="63"/>
      <c r="J74" s="63"/>
      <c r="K74" s="63"/>
      <c r="L74" s="63"/>
      <c r="M74" s="63"/>
      <c r="N74" s="63"/>
    </row>
    <row r="75" spans="3:14" x14ac:dyDescent="0.35">
      <c r="C75" s="25"/>
      <c r="D75" s="41"/>
      <c r="E75" s="41"/>
      <c r="F75" s="42"/>
      <c r="G75" s="42"/>
      <c r="H75" s="63"/>
      <c r="I75" s="63"/>
      <c r="J75" s="63"/>
      <c r="K75" s="63"/>
      <c r="L75" s="63"/>
      <c r="M75" s="63"/>
      <c r="N75" s="63"/>
    </row>
    <row r="76" spans="3:14" x14ac:dyDescent="0.35">
      <c r="C76" s="25"/>
      <c r="D76" s="41"/>
      <c r="E76" s="41"/>
      <c r="F76" s="42"/>
      <c r="G76" s="42"/>
      <c r="H76" s="63"/>
      <c r="I76" s="63"/>
      <c r="J76" s="63"/>
      <c r="K76" s="63"/>
      <c r="L76" s="63"/>
      <c r="M76" s="63"/>
      <c r="N76" s="63"/>
    </row>
    <row r="77" spans="3:14" x14ac:dyDescent="0.35">
      <c r="C77" s="25"/>
      <c r="D77" s="41"/>
      <c r="E77" s="41"/>
      <c r="F77" s="42"/>
      <c r="G77" s="42"/>
      <c r="H77" s="63"/>
      <c r="I77" s="63"/>
      <c r="J77" s="63"/>
      <c r="K77" s="63"/>
      <c r="L77" s="63"/>
      <c r="M77" s="63"/>
      <c r="N77" s="63"/>
    </row>
    <row r="78" spans="3:14" x14ac:dyDescent="0.35">
      <c r="C78" s="25"/>
      <c r="D78" s="41"/>
      <c r="E78" s="41"/>
      <c r="F78" s="42"/>
      <c r="G78" s="42"/>
      <c r="H78" s="63"/>
      <c r="I78" s="63"/>
      <c r="J78" s="63"/>
      <c r="K78" s="63"/>
      <c r="L78" s="63"/>
      <c r="M78" s="63"/>
      <c r="N78" s="63"/>
    </row>
    <row r="79" spans="3:14" x14ac:dyDescent="0.35">
      <c r="C79" s="25"/>
      <c r="D79" s="41"/>
      <c r="E79" s="41"/>
      <c r="F79" s="42"/>
      <c r="G79" s="42"/>
      <c r="H79" s="63"/>
      <c r="I79" s="63"/>
      <c r="J79" s="63"/>
      <c r="K79" s="63"/>
      <c r="L79" s="63"/>
      <c r="M79" s="63"/>
      <c r="N79" s="63"/>
    </row>
    <row r="80" spans="3:14" x14ac:dyDescent="0.35">
      <c r="C80" s="25"/>
      <c r="D80" s="41"/>
      <c r="E80" s="41"/>
      <c r="F80" s="42"/>
      <c r="G80" s="42"/>
      <c r="H80" s="63"/>
      <c r="I80" s="63"/>
      <c r="J80" s="63"/>
      <c r="K80" s="63"/>
      <c r="L80" s="63"/>
      <c r="M80" s="63"/>
      <c r="N80" s="63"/>
    </row>
    <row r="81" spans="3:14" x14ac:dyDescent="0.35">
      <c r="C81" s="25"/>
      <c r="D81" s="41"/>
      <c r="E81" s="41"/>
      <c r="F81" s="42"/>
      <c r="G81" s="42"/>
      <c r="H81" s="63"/>
      <c r="I81" s="63"/>
      <c r="J81" s="63"/>
      <c r="K81" s="63"/>
      <c r="L81" s="63"/>
      <c r="M81" s="63"/>
      <c r="N81" s="63"/>
    </row>
    <row r="82" spans="3:14" x14ac:dyDescent="0.35">
      <c r="C82" s="25"/>
      <c r="D82" s="41"/>
      <c r="E82" s="41"/>
      <c r="F82" s="42"/>
      <c r="G82" s="42"/>
      <c r="H82" s="63"/>
      <c r="I82" s="63"/>
      <c r="J82" s="63"/>
      <c r="K82" s="63"/>
      <c r="L82" s="63"/>
      <c r="M82" s="63"/>
      <c r="N82" s="63"/>
    </row>
    <row r="83" spans="3:14" x14ac:dyDescent="0.35">
      <c r="C83" s="25"/>
      <c r="D83" s="41"/>
      <c r="E83" s="41"/>
      <c r="F83" s="42"/>
      <c r="G83" s="42"/>
      <c r="H83" s="63"/>
      <c r="I83" s="63"/>
      <c r="J83" s="63"/>
      <c r="K83" s="63"/>
      <c r="L83" s="63"/>
      <c r="M83" s="63"/>
      <c r="N83" s="63"/>
    </row>
    <row r="84" spans="3:14" x14ac:dyDescent="0.35">
      <c r="C84" s="25"/>
      <c r="D84" s="41"/>
      <c r="E84" s="41"/>
      <c r="F84" s="42"/>
      <c r="G84" s="42"/>
      <c r="H84" s="63"/>
      <c r="I84" s="63"/>
      <c r="J84" s="63"/>
      <c r="K84" s="63"/>
      <c r="L84" s="63"/>
      <c r="M84" s="63"/>
      <c r="N84" s="63"/>
    </row>
    <row r="85" spans="3:14" x14ac:dyDescent="0.35">
      <c r="C85" s="25"/>
      <c r="D85" s="41"/>
      <c r="E85" s="41"/>
      <c r="F85" s="42"/>
      <c r="G85" s="42"/>
      <c r="H85" s="63"/>
      <c r="I85" s="63"/>
      <c r="J85" s="63"/>
      <c r="K85" s="63"/>
      <c r="L85" s="63"/>
      <c r="M85" s="63"/>
      <c r="N85" s="63"/>
    </row>
    <row r="86" spans="3:14" x14ac:dyDescent="0.35">
      <c r="C86" s="25"/>
      <c r="D86" s="41"/>
      <c r="E86" s="41"/>
      <c r="F86" s="42"/>
      <c r="G86" s="42"/>
      <c r="H86" s="63"/>
      <c r="I86" s="63"/>
      <c r="J86" s="63"/>
      <c r="K86" s="63"/>
      <c r="L86" s="63"/>
      <c r="M86" s="63"/>
      <c r="N86" s="63"/>
    </row>
    <row r="87" spans="3:14" x14ac:dyDescent="0.35">
      <c r="C87" s="25"/>
      <c r="D87" s="41"/>
      <c r="E87" s="41"/>
      <c r="F87" s="42"/>
      <c r="G87" s="42"/>
      <c r="H87" s="63"/>
      <c r="I87" s="63"/>
      <c r="J87" s="63"/>
      <c r="K87" s="63"/>
      <c r="L87" s="63"/>
      <c r="M87" s="63"/>
      <c r="N87" s="63"/>
    </row>
    <row r="88" spans="3:14" x14ac:dyDescent="0.35">
      <c r="C88" s="25"/>
      <c r="D88" s="41"/>
      <c r="E88" s="41"/>
      <c r="F88" s="42"/>
      <c r="G88" s="42"/>
      <c r="H88" s="63"/>
      <c r="I88" s="63"/>
      <c r="J88" s="63"/>
      <c r="K88" s="63"/>
      <c r="L88" s="63"/>
      <c r="M88" s="63"/>
      <c r="N88" s="63"/>
    </row>
    <row r="89" spans="3:14" x14ac:dyDescent="0.35">
      <c r="C89" s="25"/>
      <c r="D89" s="41"/>
      <c r="E89" s="41"/>
      <c r="F89" s="42"/>
      <c r="G89" s="42"/>
      <c r="H89" s="63"/>
      <c r="I89" s="63"/>
      <c r="J89" s="63"/>
      <c r="K89" s="63"/>
      <c r="L89" s="63"/>
      <c r="M89" s="63"/>
      <c r="N89" s="63"/>
    </row>
    <row r="90" spans="3:14" x14ac:dyDescent="0.35">
      <c r="C90" s="25"/>
      <c r="D90" s="41"/>
      <c r="E90" s="41"/>
      <c r="F90" s="42"/>
      <c r="G90" s="42"/>
      <c r="H90" s="63"/>
      <c r="I90" s="63"/>
      <c r="J90" s="63"/>
      <c r="K90" s="63"/>
      <c r="L90" s="63"/>
      <c r="M90" s="63"/>
      <c r="N90" s="63"/>
    </row>
    <row r="91" spans="3:14" x14ac:dyDescent="0.35">
      <c r="C91" s="25"/>
      <c r="D91" s="41"/>
      <c r="E91" s="41"/>
      <c r="F91" s="42"/>
      <c r="G91" s="42"/>
      <c r="H91" s="63"/>
      <c r="I91" s="63"/>
      <c r="J91" s="63"/>
      <c r="K91" s="63"/>
      <c r="L91" s="63"/>
      <c r="M91" s="63"/>
      <c r="N91" s="63"/>
    </row>
    <row r="92" spans="3:14" x14ac:dyDescent="0.35">
      <c r="C92" s="25"/>
      <c r="D92" s="41"/>
      <c r="E92" s="41"/>
      <c r="F92" s="42"/>
      <c r="G92" s="42"/>
      <c r="H92" s="63"/>
      <c r="I92" s="63"/>
      <c r="J92" s="63"/>
      <c r="K92" s="63"/>
      <c r="L92" s="63"/>
      <c r="M92" s="63"/>
      <c r="N92" s="63"/>
    </row>
    <row r="93" spans="3:14" x14ac:dyDescent="0.35">
      <c r="C93" s="25"/>
      <c r="D93" s="41"/>
      <c r="E93" s="41"/>
      <c r="F93" s="42"/>
      <c r="G93" s="42"/>
      <c r="H93" s="63"/>
      <c r="I93" s="63"/>
      <c r="J93" s="63"/>
      <c r="K93" s="63"/>
      <c r="L93" s="63"/>
      <c r="M93" s="63"/>
      <c r="N93" s="63"/>
    </row>
    <row r="94" spans="3:14" x14ac:dyDescent="0.35">
      <c r="C94" s="25"/>
      <c r="D94" s="41"/>
      <c r="E94" s="41"/>
      <c r="F94" s="42"/>
      <c r="G94" s="42"/>
      <c r="H94" s="63"/>
      <c r="I94" s="63"/>
      <c r="J94" s="63"/>
      <c r="K94" s="63"/>
      <c r="L94" s="63"/>
      <c r="M94" s="63"/>
      <c r="N94" s="63"/>
    </row>
    <row r="95" spans="3:14" x14ac:dyDescent="0.35">
      <c r="C95" s="25"/>
      <c r="D95" s="41"/>
      <c r="E95" s="41"/>
      <c r="F95" s="42"/>
      <c r="G95" s="42"/>
      <c r="H95" s="63"/>
      <c r="I95" s="63"/>
      <c r="J95" s="63"/>
      <c r="K95" s="63"/>
      <c r="L95" s="63"/>
      <c r="M95" s="63"/>
      <c r="N95" s="63"/>
    </row>
    <row r="96" spans="3:14" x14ac:dyDescent="0.35">
      <c r="C96" s="25"/>
      <c r="D96" s="41"/>
      <c r="E96" s="41"/>
      <c r="F96" s="41"/>
      <c r="G96" s="41"/>
    </row>
    <row r="98" spans="2:14" s="180" customFormat="1" x14ac:dyDescent="0.35">
      <c r="D98" s="181"/>
      <c r="E98" s="181"/>
      <c r="F98" s="181"/>
      <c r="G98" s="181"/>
      <c r="H98" s="181"/>
      <c r="I98" s="181"/>
      <c r="J98" s="181"/>
      <c r="K98" s="181"/>
      <c r="L98" s="181"/>
      <c r="M98" s="181"/>
      <c r="N98" s="181"/>
    </row>
    <row r="99" spans="2:14" ht="15.5" x14ac:dyDescent="0.35">
      <c r="B99" s="61" t="s">
        <v>32</v>
      </c>
    </row>
    <row r="100" spans="2:14" x14ac:dyDescent="0.35">
      <c r="B100" s="24" t="s">
        <v>69</v>
      </c>
    </row>
    <row r="101" spans="2:14" x14ac:dyDescent="0.35">
      <c r="B101" t="s">
        <v>61</v>
      </c>
    </row>
    <row r="102" spans="2:14" x14ac:dyDescent="0.35">
      <c r="B102" t="s">
        <v>110</v>
      </c>
    </row>
    <row r="106" spans="2:14" x14ac:dyDescent="0.35">
      <c r="B106" s="4" t="s">
        <v>68</v>
      </c>
    </row>
    <row r="107" spans="2:14" x14ac:dyDescent="0.35">
      <c r="B107" s="29" t="s">
        <v>62</v>
      </c>
    </row>
    <row r="108" spans="2:14" x14ac:dyDescent="0.35">
      <c r="B108" t="s">
        <v>64</v>
      </c>
    </row>
    <row r="109" spans="2:14" x14ac:dyDescent="0.35">
      <c r="B109" t="s">
        <v>65</v>
      </c>
    </row>
    <row r="110" spans="2:14" x14ac:dyDescent="0.35">
      <c r="B110" t="s">
        <v>66</v>
      </c>
    </row>
    <row r="111" spans="2:14" x14ac:dyDescent="0.35">
      <c r="B111" t="s">
        <v>67</v>
      </c>
    </row>
    <row r="112" spans="2:14" x14ac:dyDescent="0.35">
      <c r="B112" t="s">
        <v>105</v>
      </c>
    </row>
    <row r="113" spans="1:2" x14ac:dyDescent="0.35">
      <c r="B113" t="s">
        <v>70</v>
      </c>
    </row>
    <row r="114" spans="1:2" x14ac:dyDescent="0.35">
      <c r="B114" t="s">
        <v>71</v>
      </c>
    </row>
    <row r="115" spans="1:2" x14ac:dyDescent="0.35">
      <c r="A115" s="54"/>
      <c r="B115" t="s">
        <v>72</v>
      </c>
    </row>
    <row r="116" spans="1:2" x14ac:dyDescent="0.35">
      <c r="A116" s="55" t="s">
        <v>87</v>
      </c>
      <c r="B116" t="s">
        <v>77</v>
      </c>
    </row>
    <row r="117" spans="1:2" x14ac:dyDescent="0.35">
      <c r="A117" s="55"/>
      <c r="B117" t="s">
        <v>108</v>
      </c>
    </row>
    <row r="118" spans="1:2" x14ac:dyDescent="0.35">
      <c r="A118" s="55"/>
      <c r="B118" t="s">
        <v>109</v>
      </c>
    </row>
    <row r="119" spans="1:2" x14ac:dyDescent="0.35">
      <c r="A119" s="55"/>
    </row>
    <row r="120" spans="1:2" x14ac:dyDescent="0.35">
      <c r="A120" s="55"/>
      <c r="B120" s="29" t="s">
        <v>63</v>
      </c>
    </row>
    <row r="121" spans="1:2" x14ac:dyDescent="0.35">
      <c r="A121" s="55"/>
      <c r="B121" s="4"/>
    </row>
    <row r="122" spans="1:2" x14ac:dyDescent="0.35">
      <c r="A122" s="55" t="s">
        <v>88</v>
      </c>
      <c r="B122" t="s">
        <v>73</v>
      </c>
    </row>
    <row r="123" spans="1:2" x14ac:dyDescent="0.35">
      <c r="A123" s="55" t="s">
        <v>89</v>
      </c>
      <c r="B123" t="s">
        <v>74</v>
      </c>
    </row>
    <row r="124" spans="1:2" x14ac:dyDescent="0.35">
      <c r="A124" s="55" t="s">
        <v>90</v>
      </c>
      <c r="B124" t="s">
        <v>9</v>
      </c>
    </row>
    <row r="125" spans="1:2" x14ac:dyDescent="0.35">
      <c r="A125" s="55" t="s">
        <v>91</v>
      </c>
      <c r="B125" t="s">
        <v>76</v>
      </c>
    </row>
    <row r="126" spans="1:2" x14ac:dyDescent="0.35">
      <c r="A126" s="55"/>
      <c r="B126" t="s">
        <v>75</v>
      </c>
    </row>
    <row r="127" spans="1:2" x14ac:dyDescent="0.35">
      <c r="B127" t="s">
        <v>107</v>
      </c>
    </row>
    <row r="133" spans="1:2" x14ac:dyDescent="0.35">
      <c r="A133" t="s">
        <v>16</v>
      </c>
    </row>
    <row r="134" spans="1:2" x14ac:dyDescent="0.35">
      <c r="A134" s="5" t="s">
        <v>82</v>
      </c>
      <c r="B134" s="52" t="s">
        <v>106</v>
      </c>
    </row>
    <row r="135" spans="1:2" x14ac:dyDescent="0.35">
      <c r="A135" s="5" t="s">
        <v>83</v>
      </c>
      <c r="B135" s="53" t="s">
        <v>34</v>
      </c>
    </row>
    <row r="136" spans="1:2" x14ac:dyDescent="0.35">
      <c r="A136" s="5" t="s">
        <v>84</v>
      </c>
      <c r="B136" t="s">
        <v>92</v>
      </c>
    </row>
    <row r="137" spans="1:2" x14ac:dyDescent="0.35">
      <c r="A137" s="5" t="s">
        <v>85</v>
      </c>
      <c r="B137" s="52" t="s">
        <v>93</v>
      </c>
    </row>
    <row r="138" spans="1:2" x14ac:dyDescent="0.35">
      <c r="A138" s="5" t="s">
        <v>86</v>
      </c>
      <c r="B138" s="52" t="s">
        <v>94</v>
      </c>
    </row>
    <row r="139" spans="1:2" x14ac:dyDescent="0.35">
      <c r="B139" s="52"/>
    </row>
    <row r="152" spans="3:3" x14ac:dyDescent="0.35">
      <c r="C152" t="s">
        <v>153</v>
      </c>
    </row>
    <row r="153" spans="3:3" x14ac:dyDescent="0.35">
      <c r="C153" t="s">
        <v>154</v>
      </c>
    </row>
    <row r="154" spans="3:3" x14ac:dyDescent="0.35">
      <c r="C154" t="s">
        <v>80</v>
      </c>
    </row>
    <row r="155" spans="3:3" x14ac:dyDescent="0.35">
      <c r="C155" t="s">
        <v>155</v>
      </c>
    </row>
    <row r="156" spans="3:3" x14ac:dyDescent="0.35">
      <c r="C156" t="s">
        <v>156</v>
      </c>
    </row>
  </sheetData>
  <mergeCells count="7">
    <mergeCell ref="O3:S3"/>
    <mergeCell ref="M3:N3"/>
    <mergeCell ref="B4:B5"/>
    <mergeCell ref="B2:K2"/>
    <mergeCell ref="C3:G3"/>
    <mergeCell ref="I3:J3"/>
    <mergeCell ref="K3:L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49B6B-86AC-41A6-AC6B-ACE3F11B1F8E}">
  <sheetPr codeName="Sheet14">
    <tabColor rgb="FFFFFF00"/>
  </sheetPr>
  <dimension ref="A1:Q155"/>
  <sheetViews>
    <sheetView zoomScale="90" zoomScaleNormal="90" workbookViewId="0">
      <pane xSplit="2" ySplit="5" topLeftCell="C6" activePane="bottomRight" state="frozen"/>
      <selection pane="topRight" activeCell="C1" sqref="C1"/>
      <selection pane="bottomLeft" activeCell="A6" sqref="A6"/>
      <selection pane="bottomRight" activeCell="G15" sqref="G15"/>
    </sheetView>
  </sheetViews>
  <sheetFormatPr defaultRowHeight="14.5" outlineLevelRow="3" x14ac:dyDescent="0.35"/>
  <cols>
    <col min="1" max="1" width="2" customWidth="1"/>
    <col min="2" max="2" width="50" customWidth="1"/>
    <col min="3" max="3" width="20.54296875" customWidth="1"/>
    <col min="4" max="4" width="19" style="6" customWidth="1"/>
    <col min="5" max="5" width="19.1796875" style="6" customWidth="1"/>
    <col min="6" max="6" width="19" style="6" customWidth="1"/>
    <col min="7" max="7" width="17.7265625" style="6" bestFit="1" customWidth="1"/>
    <col min="8" max="8" width="11.453125" style="6" customWidth="1"/>
    <col min="9" max="9" width="11" style="6" bestFit="1" customWidth="1"/>
    <col min="10" max="10" width="17.1796875" style="6" bestFit="1" customWidth="1"/>
    <col min="11" max="12" width="15.81640625" style="6" customWidth="1"/>
    <col min="13" max="14" width="12.7265625" style="9" customWidth="1"/>
    <col min="15" max="15" width="13.81640625" style="6" customWidth="1"/>
    <col min="16" max="16" width="12.7265625" style="6" bestFit="1" customWidth="1"/>
    <col min="17" max="17" width="13.81640625" style="6" customWidth="1"/>
    <col min="18" max="18" width="9.26953125" bestFit="1" customWidth="1"/>
    <col min="19" max="20" width="9.54296875" bestFit="1" customWidth="1"/>
  </cols>
  <sheetData>
    <row r="1" spans="2:17" x14ac:dyDescent="0.35">
      <c r="M1" s="14"/>
    </row>
    <row r="2" spans="2:17" s="58" customFormat="1" ht="18.5" x14ac:dyDescent="0.45">
      <c r="B2" s="568" t="s">
        <v>435</v>
      </c>
      <c r="C2" s="559"/>
      <c r="D2" s="559"/>
      <c r="E2" s="559"/>
      <c r="F2" s="559"/>
      <c r="G2" s="559"/>
      <c r="H2" s="559"/>
      <c r="I2" s="559"/>
      <c r="J2" s="559"/>
      <c r="K2" s="559"/>
      <c r="L2" s="559"/>
      <c r="M2" s="559"/>
      <c r="N2" s="559"/>
      <c r="O2" s="559"/>
      <c r="P2" s="56"/>
      <c r="Q2" s="57"/>
    </row>
    <row r="3" spans="2:17" s="60" customFormat="1" ht="15.5" x14ac:dyDescent="0.35">
      <c r="B3" s="59"/>
      <c r="C3" s="569" t="s">
        <v>21</v>
      </c>
      <c r="D3" s="569"/>
      <c r="E3" s="569"/>
      <c r="F3" s="569"/>
      <c r="G3" s="569"/>
      <c r="H3" s="570" t="s">
        <v>78</v>
      </c>
      <c r="I3" s="571"/>
      <c r="J3" s="553" t="s">
        <v>30</v>
      </c>
      <c r="K3" s="553"/>
      <c r="L3" s="561"/>
      <c r="M3" s="572" t="s">
        <v>31</v>
      </c>
      <c r="N3" s="562"/>
      <c r="O3" s="562"/>
      <c r="P3" s="562"/>
      <c r="Q3" s="563"/>
    </row>
    <row r="4" spans="2:17" s="10" customFormat="1" ht="72.5" x14ac:dyDescent="0.35">
      <c r="B4" s="564"/>
      <c r="C4" s="12" t="s">
        <v>99</v>
      </c>
      <c r="D4" s="12" t="s">
        <v>101</v>
      </c>
      <c r="E4" s="12" t="s">
        <v>102</v>
      </c>
      <c r="F4" s="12" t="s">
        <v>98</v>
      </c>
      <c r="G4" s="16" t="s">
        <v>100</v>
      </c>
      <c r="H4" s="18" t="s">
        <v>80</v>
      </c>
      <c r="I4" s="184" t="s">
        <v>81</v>
      </c>
      <c r="J4" s="12" t="s">
        <v>95</v>
      </c>
      <c r="K4" s="11" t="s">
        <v>2</v>
      </c>
      <c r="L4" s="11" t="s">
        <v>3</v>
      </c>
      <c r="M4" s="12" t="s">
        <v>4</v>
      </c>
      <c r="N4" s="297" t="s">
        <v>5</v>
      </c>
      <c r="O4" s="12" t="s">
        <v>6</v>
      </c>
      <c r="P4" s="11" t="s">
        <v>7</v>
      </c>
      <c r="Q4" s="12" t="s">
        <v>8</v>
      </c>
    </row>
    <row r="5" spans="2:17" s="10" customFormat="1" x14ac:dyDescent="0.35">
      <c r="B5" s="565"/>
      <c r="C5" s="13" t="s">
        <v>103</v>
      </c>
      <c r="D5" s="13" t="s">
        <v>103</v>
      </c>
      <c r="E5" s="13" t="s">
        <v>103</v>
      </c>
      <c r="F5" s="13" t="s">
        <v>103</v>
      </c>
      <c r="G5" s="17" t="s">
        <v>104</v>
      </c>
      <c r="H5" s="566" t="s">
        <v>22</v>
      </c>
      <c r="I5" s="567"/>
      <c r="J5" s="17" t="s">
        <v>22</v>
      </c>
      <c r="K5" s="13" t="s">
        <v>22</v>
      </c>
      <c r="L5" s="13" t="s">
        <v>22</v>
      </c>
      <c r="M5" s="36" t="s">
        <v>22</v>
      </c>
      <c r="N5" s="22" t="s">
        <v>22</v>
      </c>
      <c r="O5" s="22" t="s">
        <v>22</v>
      </c>
      <c r="P5" s="22" t="s">
        <v>22</v>
      </c>
      <c r="Q5" s="22" t="s">
        <v>22</v>
      </c>
    </row>
    <row r="6" spans="2:17" x14ac:dyDescent="0.35">
      <c r="C6" s="70"/>
      <c r="H6" s="32"/>
      <c r="J6" s="70"/>
      <c r="M6" s="14"/>
      <c r="Q6" s="71"/>
    </row>
    <row r="7" spans="2:17" ht="15.5" x14ac:dyDescent="0.35">
      <c r="B7" s="61" t="s">
        <v>23</v>
      </c>
      <c r="C7" s="70"/>
      <c r="H7" s="32"/>
      <c r="J7" s="70"/>
      <c r="Q7" s="71"/>
    </row>
    <row r="8" spans="2:17" s="4" customFormat="1" x14ac:dyDescent="0.35">
      <c r="B8" s="26" t="s">
        <v>56</v>
      </c>
      <c r="C8" s="196">
        <f t="shared" ref="C8:I8" si="0">SUM(C9:C29)</f>
        <v>25311</v>
      </c>
      <c r="D8" s="27">
        <f t="shared" si="0"/>
        <v>14821</v>
      </c>
      <c r="E8" s="27">
        <f t="shared" si="0"/>
        <v>10139</v>
      </c>
      <c r="F8" s="27">
        <f t="shared" si="0"/>
        <v>18117</v>
      </c>
      <c r="G8" s="27">
        <f t="shared" si="0"/>
        <v>8174</v>
      </c>
      <c r="H8" s="33">
        <f t="shared" si="0"/>
        <v>5.5545</v>
      </c>
      <c r="I8" s="30">
        <f t="shared" si="0"/>
        <v>11.175000000000001</v>
      </c>
      <c r="J8" s="186" t="s">
        <v>410</v>
      </c>
      <c r="K8" s="30">
        <f>SUM(K9:K29)</f>
        <v>0</v>
      </c>
      <c r="L8" s="62" t="str">
        <f>J8</f>
        <v>$6.44 or $5.59</v>
      </c>
      <c r="M8" s="30">
        <f>SUM(M9:M29)</f>
        <v>5.5875000000000004</v>
      </c>
      <c r="N8" s="30">
        <f>SUM(N9:N29)</f>
        <v>8.3812500000000014</v>
      </c>
      <c r="O8" s="30">
        <f>SUM(O9:O29)</f>
        <v>11.175000000000001</v>
      </c>
      <c r="P8" s="30">
        <f>SUM(P9:P29)</f>
        <v>0</v>
      </c>
      <c r="Q8" s="190">
        <f>SUM(Q9:Q29)</f>
        <v>11.175000000000001</v>
      </c>
    </row>
    <row r="9" spans="2:17" outlineLevel="2" x14ac:dyDescent="0.35">
      <c r="B9" s="23" t="s">
        <v>35</v>
      </c>
      <c r="C9" s="197">
        <v>10769</v>
      </c>
      <c r="D9" s="25">
        <v>6306</v>
      </c>
      <c r="E9" s="25">
        <v>4314</v>
      </c>
      <c r="F9" s="41">
        <v>7708</v>
      </c>
      <c r="G9" s="42">
        <v>3479</v>
      </c>
      <c r="H9" s="34">
        <f>I9*0.69</f>
        <v>5.5545</v>
      </c>
      <c r="I9" s="179">
        <v>8.0500000000000007</v>
      </c>
      <c r="J9" s="187"/>
      <c r="K9" s="38"/>
      <c r="L9" s="38"/>
      <c r="M9" s="9">
        <f>I9*0.5</f>
        <v>4.0250000000000004</v>
      </c>
      <c r="N9" s="9">
        <f>I9*0.75</f>
        <v>6.0375000000000005</v>
      </c>
      <c r="O9" s="38">
        <f>I9</f>
        <v>8.0500000000000007</v>
      </c>
      <c r="Q9" s="174">
        <f>I9</f>
        <v>8.0500000000000007</v>
      </c>
    </row>
    <row r="10" spans="2:17" ht="26.5" outlineLevel="3" x14ac:dyDescent="0.35">
      <c r="B10" s="64" t="s">
        <v>96</v>
      </c>
      <c r="C10" s="197"/>
      <c r="D10" s="25"/>
      <c r="E10" s="25"/>
      <c r="F10" s="41"/>
      <c r="G10" s="42"/>
      <c r="H10" s="34"/>
      <c r="I10" s="179"/>
      <c r="J10" s="187">
        <f>I50*0.61-J31</f>
        <v>6.4372000000000025</v>
      </c>
      <c r="K10" s="38"/>
      <c r="L10" s="38">
        <f>J10</f>
        <v>6.4372000000000025</v>
      </c>
      <c r="O10" s="38"/>
      <c r="Q10" s="174"/>
    </row>
    <row r="11" spans="2:17" ht="26.5" outlineLevel="3" x14ac:dyDescent="0.35">
      <c r="B11" s="64" t="s">
        <v>97</v>
      </c>
      <c r="C11" s="197"/>
      <c r="D11" s="25"/>
      <c r="E11" s="25"/>
      <c r="F11" s="41"/>
      <c r="G11" s="42"/>
      <c r="H11" s="34"/>
      <c r="I11" s="179"/>
      <c r="J11" s="187">
        <f>I51*0.61-J37</f>
        <v>5.5947999999999993</v>
      </c>
      <c r="K11" s="38"/>
      <c r="L11" s="38">
        <f>J11</f>
        <v>5.5947999999999993</v>
      </c>
      <c r="O11" s="38"/>
      <c r="Q11" s="174"/>
    </row>
    <row r="12" spans="2:17" outlineLevel="2" x14ac:dyDescent="0.35">
      <c r="B12" s="23" t="s">
        <v>50</v>
      </c>
      <c r="C12" s="197">
        <v>784</v>
      </c>
      <c r="D12" s="25">
        <v>459</v>
      </c>
      <c r="E12" s="25">
        <v>314</v>
      </c>
      <c r="F12" s="41">
        <v>561</v>
      </c>
      <c r="G12" s="42">
        <v>253</v>
      </c>
      <c r="H12" s="43"/>
      <c r="I12" s="7">
        <v>0.40500000000000003</v>
      </c>
      <c r="J12" s="70"/>
      <c r="M12" s="9">
        <f t="shared" ref="M12:M29" si="1">I12*0.5</f>
        <v>0.20250000000000001</v>
      </c>
      <c r="N12" s="9">
        <f t="shared" ref="N12:N29" si="2">I12*0.75</f>
        <v>0.30375000000000002</v>
      </c>
      <c r="O12" s="38">
        <f t="shared" ref="O12:O29" si="3">I12</f>
        <v>0.40500000000000003</v>
      </c>
      <c r="Q12" s="174">
        <f t="shared" ref="Q12:Q29" si="4">I12</f>
        <v>0.40500000000000003</v>
      </c>
    </row>
    <row r="13" spans="2:17" outlineLevel="2" x14ac:dyDescent="0.35">
      <c r="B13" s="23" t="s">
        <v>36</v>
      </c>
      <c r="C13" s="197">
        <v>524</v>
      </c>
      <c r="D13" s="25">
        <v>307</v>
      </c>
      <c r="E13" s="25">
        <v>210</v>
      </c>
      <c r="F13" s="41">
        <v>375</v>
      </c>
      <c r="G13" s="42">
        <v>169</v>
      </c>
      <c r="H13" s="43"/>
      <c r="I13" s="7">
        <v>0.26</v>
      </c>
      <c r="J13" s="70"/>
      <c r="M13" s="9">
        <f t="shared" si="1"/>
        <v>0.13</v>
      </c>
      <c r="N13" s="9">
        <f t="shared" si="2"/>
        <v>0.19500000000000001</v>
      </c>
      <c r="O13" s="38">
        <f t="shared" si="3"/>
        <v>0.26</v>
      </c>
      <c r="Q13" s="174">
        <f t="shared" si="4"/>
        <v>0.26</v>
      </c>
    </row>
    <row r="14" spans="2:17" outlineLevel="2" x14ac:dyDescent="0.35">
      <c r="B14" s="23" t="s">
        <v>37</v>
      </c>
      <c r="C14" s="197">
        <v>462</v>
      </c>
      <c r="D14" s="25">
        <v>271</v>
      </c>
      <c r="E14" s="25">
        <v>185</v>
      </c>
      <c r="F14" s="42">
        <v>331</v>
      </c>
      <c r="G14" s="42">
        <v>149</v>
      </c>
      <c r="H14" s="43"/>
      <c r="I14" s="179">
        <v>0.23</v>
      </c>
      <c r="J14" s="70"/>
      <c r="M14" s="9">
        <f t="shared" si="1"/>
        <v>0.115</v>
      </c>
      <c r="N14" s="9">
        <f t="shared" si="2"/>
        <v>0.17250000000000001</v>
      </c>
      <c r="O14" s="38">
        <f t="shared" si="3"/>
        <v>0.23</v>
      </c>
      <c r="Q14" s="174">
        <f t="shared" si="4"/>
        <v>0.23</v>
      </c>
    </row>
    <row r="15" spans="2:17" outlineLevel="2" x14ac:dyDescent="0.35">
      <c r="B15" s="23" t="s">
        <v>38</v>
      </c>
      <c r="C15" s="197">
        <v>1917</v>
      </c>
      <c r="D15" s="25">
        <v>1123</v>
      </c>
      <c r="E15" s="25">
        <v>768</v>
      </c>
      <c r="F15" s="42">
        <v>1372</v>
      </c>
      <c r="G15" s="42">
        <v>619</v>
      </c>
      <c r="H15" s="43"/>
      <c r="I15" s="179">
        <v>0.98</v>
      </c>
      <c r="J15" s="70"/>
      <c r="M15" s="9">
        <f t="shared" si="1"/>
        <v>0.49</v>
      </c>
      <c r="N15" s="9">
        <f t="shared" si="2"/>
        <v>0.73499999999999999</v>
      </c>
      <c r="O15" s="38">
        <f t="shared" si="3"/>
        <v>0.98</v>
      </c>
      <c r="Q15" s="174">
        <f t="shared" si="4"/>
        <v>0.98</v>
      </c>
    </row>
    <row r="16" spans="2:17" outlineLevel="2" x14ac:dyDescent="0.35">
      <c r="B16" s="23" t="s">
        <v>39</v>
      </c>
      <c r="C16" s="197">
        <v>2352</v>
      </c>
      <c r="D16" s="25">
        <v>1377</v>
      </c>
      <c r="E16" s="25">
        <v>942</v>
      </c>
      <c r="F16" s="42">
        <v>1683</v>
      </c>
      <c r="G16" s="42">
        <v>760</v>
      </c>
      <c r="H16" s="43"/>
      <c r="I16" s="179">
        <v>0.11</v>
      </c>
      <c r="J16" s="70"/>
      <c r="M16" s="9">
        <f t="shared" si="1"/>
        <v>5.5E-2</v>
      </c>
      <c r="N16" s="9">
        <f t="shared" si="2"/>
        <v>8.2500000000000004E-2</v>
      </c>
      <c r="O16" s="38">
        <f t="shared" si="3"/>
        <v>0.11</v>
      </c>
      <c r="Q16" s="174">
        <f t="shared" si="4"/>
        <v>0.11</v>
      </c>
    </row>
    <row r="17" spans="2:17" outlineLevel="2" x14ac:dyDescent="0.35">
      <c r="B17" s="23" t="s">
        <v>40</v>
      </c>
      <c r="C17" s="197">
        <v>4430</v>
      </c>
      <c r="D17" s="25">
        <v>2594</v>
      </c>
      <c r="E17" s="25">
        <v>1775</v>
      </c>
      <c r="F17" s="42">
        <v>3171</v>
      </c>
      <c r="G17" s="42">
        <v>1431</v>
      </c>
      <c r="H17" s="43"/>
      <c r="I17" s="179">
        <v>0.2</v>
      </c>
      <c r="J17" s="70"/>
      <c r="M17" s="9">
        <f t="shared" si="1"/>
        <v>0.1</v>
      </c>
      <c r="N17" s="9">
        <f t="shared" si="2"/>
        <v>0.15000000000000002</v>
      </c>
      <c r="O17" s="38">
        <f t="shared" si="3"/>
        <v>0.2</v>
      </c>
      <c r="Q17" s="174">
        <f t="shared" si="4"/>
        <v>0.2</v>
      </c>
    </row>
    <row r="18" spans="2:17" outlineLevel="2" x14ac:dyDescent="0.35">
      <c r="B18" s="23" t="s">
        <v>41</v>
      </c>
      <c r="C18" s="197">
        <v>1045</v>
      </c>
      <c r="D18" s="25">
        <v>612</v>
      </c>
      <c r="E18" s="25">
        <v>419</v>
      </c>
      <c r="F18" s="42">
        <v>748</v>
      </c>
      <c r="G18" s="42">
        <v>338</v>
      </c>
      <c r="H18" s="43"/>
      <c r="I18" s="179">
        <v>0.05</v>
      </c>
      <c r="J18" s="70"/>
      <c r="M18" s="9">
        <f t="shared" si="1"/>
        <v>2.5000000000000001E-2</v>
      </c>
      <c r="N18" s="9">
        <f t="shared" si="2"/>
        <v>3.7500000000000006E-2</v>
      </c>
      <c r="O18" s="38">
        <f t="shared" si="3"/>
        <v>0.05</v>
      </c>
      <c r="Q18" s="174">
        <f t="shared" si="4"/>
        <v>0.05</v>
      </c>
    </row>
    <row r="19" spans="2:17" outlineLevel="2" x14ac:dyDescent="0.35">
      <c r="B19" s="23" t="s">
        <v>408</v>
      </c>
      <c r="C19" s="197">
        <v>335</v>
      </c>
      <c r="D19" s="25">
        <v>196</v>
      </c>
      <c r="E19" s="25">
        <v>134</v>
      </c>
      <c r="F19" s="42">
        <v>240</v>
      </c>
      <c r="G19" s="42">
        <v>108</v>
      </c>
      <c r="H19" s="43"/>
      <c r="I19" s="179">
        <v>0.17</v>
      </c>
      <c r="J19" s="70"/>
      <c r="M19" s="9">
        <f t="shared" si="1"/>
        <v>8.5000000000000006E-2</v>
      </c>
      <c r="N19" s="9">
        <f t="shared" si="2"/>
        <v>0.1275</v>
      </c>
      <c r="O19" s="38">
        <f t="shared" si="3"/>
        <v>0.17</v>
      </c>
      <c r="Q19" s="174">
        <f t="shared" si="4"/>
        <v>0.17</v>
      </c>
    </row>
    <row r="20" spans="2:17" outlineLevel="2" x14ac:dyDescent="0.35">
      <c r="B20" s="23" t="s">
        <v>409</v>
      </c>
      <c r="C20" s="197">
        <v>161</v>
      </c>
      <c r="D20" s="25">
        <v>94</v>
      </c>
      <c r="E20" s="25">
        <v>64</v>
      </c>
      <c r="F20" s="42">
        <v>115</v>
      </c>
      <c r="G20" s="42">
        <v>52</v>
      </c>
      <c r="H20" s="43"/>
      <c r="I20" s="179">
        <v>0.08</v>
      </c>
      <c r="J20" s="70"/>
      <c r="M20" s="9">
        <f t="shared" si="1"/>
        <v>0.04</v>
      </c>
      <c r="N20" s="9">
        <f t="shared" si="2"/>
        <v>0.06</v>
      </c>
      <c r="O20" s="38">
        <f t="shared" si="3"/>
        <v>0.08</v>
      </c>
      <c r="Q20" s="174">
        <f t="shared" si="4"/>
        <v>0.08</v>
      </c>
    </row>
    <row r="21" spans="2:17" outlineLevel="2" x14ac:dyDescent="0.35">
      <c r="B21" s="23" t="s">
        <v>43</v>
      </c>
      <c r="C21" s="197">
        <v>137</v>
      </c>
      <c r="D21" s="25">
        <v>80</v>
      </c>
      <c r="E21" s="25">
        <v>55</v>
      </c>
      <c r="F21" s="42">
        <v>98</v>
      </c>
      <c r="G21" s="42">
        <v>44</v>
      </c>
      <c r="H21" s="43"/>
      <c r="I21" s="179">
        <v>2.5000000000000001E-2</v>
      </c>
      <c r="J21" s="70"/>
      <c r="M21" s="9">
        <f t="shared" si="1"/>
        <v>1.2500000000000001E-2</v>
      </c>
      <c r="N21" s="9">
        <f t="shared" si="2"/>
        <v>1.8750000000000003E-2</v>
      </c>
      <c r="O21" s="38">
        <f t="shared" si="3"/>
        <v>2.5000000000000001E-2</v>
      </c>
      <c r="Q21" s="174">
        <f t="shared" si="4"/>
        <v>2.5000000000000001E-2</v>
      </c>
    </row>
    <row r="22" spans="2:17" outlineLevel="2" x14ac:dyDescent="0.35">
      <c r="B22" s="23" t="s">
        <v>44</v>
      </c>
      <c r="C22" s="197">
        <v>125</v>
      </c>
      <c r="D22" s="25">
        <v>73</v>
      </c>
      <c r="E22" s="25">
        <v>50</v>
      </c>
      <c r="F22" s="42">
        <v>89</v>
      </c>
      <c r="G22" s="42">
        <v>40</v>
      </c>
      <c r="H22" s="43"/>
      <c r="I22" s="179">
        <v>0.01</v>
      </c>
      <c r="J22" s="70"/>
      <c r="M22" s="9">
        <f t="shared" si="1"/>
        <v>5.0000000000000001E-3</v>
      </c>
      <c r="N22" s="9">
        <f t="shared" si="2"/>
        <v>7.4999999999999997E-3</v>
      </c>
      <c r="O22" s="38">
        <f t="shared" si="3"/>
        <v>0.01</v>
      </c>
      <c r="Q22" s="174">
        <f t="shared" si="4"/>
        <v>0.01</v>
      </c>
    </row>
    <row r="23" spans="2:17" outlineLevel="2" x14ac:dyDescent="0.35">
      <c r="B23" s="23" t="s">
        <v>45</v>
      </c>
      <c r="C23" s="197">
        <v>1</v>
      </c>
      <c r="D23" s="25">
        <v>1</v>
      </c>
      <c r="E23" s="25">
        <v>0</v>
      </c>
      <c r="F23" s="42">
        <v>1</v>
      </c>
      <c r="G23" s="42">
        <v>0</v>
      </c>
      <c r="H23" s="43"/>
      <c r="I23" s="179">
        <v>0</v>
      </c>
      <c r="J23" s="70"/>
      <c r="M23" s="9">
        <f t="shared" si="1"/>
        <v>0</v>
      </c>
      <c r="N23" s="9">
        <f t="shared" si="2"/>
        <v>0</v>
      </c>
      <c r="O23" s="38">
        <f t="shared" si="3"/>
        <v>0</v>
      </c>
      <c r="Q23" s="174">
        <f t="shared" si="4"/>
        <v>0</v>
      </c>
    </row>
    <row r="24" spans="2:17" outlineLevel="2" x14ac:dyDescent="0.35">
      <c r="B24" s="23" t="s">
        <v>46</v>
      </c>
      <c r="C24" s="197">
        <v>15</v>
      </c>
      <c r="D24" s="25">
        <v>9</v>
      </c>
      <c r="E24" s="25">
        <v>6</v>
      </c>
      <c r="F24" s="42">
        <v>11</v>
      </c>
      <c r="G24" s="42">
        <v>5</v>
      </c>
      <c r="H24" s="43"/>
      <c r="I24" s="179">
        <v>0</v>
      </c>
      <c r="J24" s="70"/>
      <c r="M24" s="9">
        <f t="shared" si="1"/>
        <v>0</v>
      </c>
      <c r="N24" s="9">
        <f t="shared" si="2"/>
        <v>0</v>
      </c>
      <c r="O24" s="38">
        <f t="shared" si="3"/>
        <v>0</v>
      </c>
      <c r="Q24" s="174">
        <f t="shared" si="4"/>
        <v>0</v>
      </c>
    </row>
    <row r="25" spans="2:17" outlineLevel="2" x14ac:dyDescent="0.35">
      <c r="B25" s="23" t="s">
        <v>47</v>
      </c>
      <c r="C25" s="197">
        <v>648</v>
      </c>
      <c r="D25" s="25">
        <v>379</v>
      </c>
      <c r="E25" s="25">
        <v>260</v>
      </c>
      <c r="F25" s="42">
        <v>464</v>
      </c>
      <c r="G25" s="42">
        <v>209</v>
      </c>
      <c r="H25" s="43"/>
      <c r="I25" s="179">
        <v>0</v>
      </c>
      <c r="J25" s="70"/>
      <c r="M25" s="9">
        <f t="shared" si="1"/>
        <v>0</v>
      </c>
      <c r="N25" s="9">
        <f t="shared" si="2"/>
        <v>0</v>
      </c>
      <c r="O25" s="38">
        <f t="shared" si="3"/>
        <v>0</v>
      </c>
      <c r="Q25" s="174">
        <f t="shared" si="4"/>
        <v>0</v>
      </c>
    </row>
    <row r="26" spans="2:17" outlineLevel="2" x14ac:dyDescent="0.35">
      <c r="B26" s="23" t="s">
        <v>48</v>
      </c>
      <c r="C26" s="197">
        <v>419</v>
      </c>
      <c r="D26" s="25">
        <v>245</v>
      </c>
      <c r="E26" s="25">
        <v>168</v>
      </c>
      <c r="F26" s="42">
        <v>300</v>
      </c>
      <c r="G26" s="42">
        <v>135</v>
      </c>
      <c r="H26" s="43"/>
      <c r="I26" s="179">
        <v>0.21</v>
      </c>
      <c r="J26" s="70"/>
      <c r="M26" s="9">
        <f t="shared" si="1"/>
        <v>0.105</v>
      </c>
      <c r="N26" s="9">
        <f t="shared" si="2"/>
        <v>0.1575</v>
      </c>
      <c r="O26" s="38">
        <f t="shared" si="3"/>
        <v>0.21</v>
      </c>
      <c r="Q26" s="174">
        <f t="shared" si="4"/>
        <v>0.21</v>
      </c>
    </row>
    <row r="27" spans="2:17" outlineLevel="2" x14ac:dyDescent="0.35">
      <c r="B27" s="23" t="s">
        <v>49</v>
      </c>
      <c r="C27" s="197">
        <v>490</v>
      </c>
      <c r="D27" s="25">
        <v>287</v>
      </c>
      <c r="E27" s="25">
        <v>196</v>
      </c>
      <c r="F27" s="42">
        <v>351</v>
      </c>
      <c r="G27" s="42">
        <v>158</v>
      </c>
      <c r="H27" s="43"/>
      <c r="I27" s="179">
        <v>0.25</v>
      </c>
      <c r="J27" s="70"/>
      <c r="M27" s="9">
        <f t="shared" si="1"/>
        <v>0.125</v>
      </c>
      <c r="N27" s="9">
        <f t="shared" si="2"/>
        <v>0.1875</v>
      </c>
      <c r="O27" s="38">
        <f t="shared" si="3"/>
        <v>0.25</v>
      </c>
      <c r="Q27" s="174">
        <f t="shared" si="4"/>
        <v>0.25</v>
      </c>
    </row>
    <row r="28" spans="2:17" outlineLevel="2" x14ac:dyDescent="0.35">
      <c r="B28" s="23" t="s">
        <v>52</v>
      </c>
      <c r="C28" s="197">
        <v>40</v>
      </c>
      <c r="D28" s="25">
        <v>23</v>
      </c>
      <c r="E28" s="25">
        <v>16</v>
      </c>
      <c r="F28" s="42">
        <v>29</v>
      </c>
      <c r="G28" s="42">
        <v>13</v>
      </c>
      <c r="H28" s="43"/>
      <c r="I28" s="179">
        <v>0.02</v>
      </c>
      <c r="J28" s="70"/>
      <c r="M28" s="9">
        <f t="shared" si="1"/>
        <v>0.01</v>
      </c>
      <c r="N28" s="9">
        <f t="shared" si="2"/>
        <v>1.4999999999999999E-2</v>
      </c>
      <c r="O28" s="38">
        <f t="shared" si="3"/>
        <v>0.02</v>
      </c>
      <c r="Q28" s="174">
        <f t="shared" si="4"/>
        <v>0.02</v>
      </c>
    </row>
    <row r="29" spans="2:17" outlineLevel="2" x14ac:dyDescent="0.35">
      <c r="B29" s="23" t="s">
        <v>51</v>
      </c>
      <c r="C29" s="197">
        <v>657</v>
      </c>
      <c r="D29" s="25">
        <v>385</v>
      </c>
      <c r="E29" s="25">
        <v>263</v>
      </c>
      <c r="F29" s="42">
        <v>470</v>
      </c>
      <c r="G29" s="42">
        <v>212</v>
      </c>
      <c r="H29" s="43"/>
      <c r="I29" s="179">
        <v>0.125</v>
      </c>
      <c r="J29" s="70"/>
      <c r="M29" s="9">
        <f t="shared" si="1"/>
        <v>6.25E-2</v>
      </c>
      <c r="N29" s="9">
        <f t="shared" si="2"/>
        <v>9.375E-2</v>
      </c>
      <c r="O29" s="38">
        <f t="shared" si="3"/>
        <v>0.125</v>
      </c>
      <c r="Q29" s="174">
        <f t="shared" si="4"/>
        <v>0.125</v>
      </c>
    </row>
    <row r="30" spans="2:17" outlineLevel="1" x14ac:dyDescent="0.35">
      <c r="B30" s="15"/>
      <c r="C30" s="197"/>
      <c r="H30" s="32"/>
      <c r="J30" s="70"/>
      <c r="Q30" s="71"/>
    </row>
    <row r="31" spans="2:17" s="4" customFormat="1" x14ac:dyDescent="0.35">
      <c r="B31" s="26" t="s">
        <v>57</v>
      </c>
      <c r="C31" s="196">
        <f>SUM(C32:C35)</f>
        <v>18178</v>
      </c>
      <c r="D31" s="27">
        <f>SUM(D32:D35)</f>
        <v>10646</v>
      </c>
      <c r="E31" s="27">
        <f>SUM(E32:E35)</f>
        <v>7283</v>
      </c>
      <c r="F31" s="27">
        <f>SUM(F32:F35)</f>
        <v>13011</v>
      </c>
      <c r="G31" s="27">
        <f>SUM(G32:G35)</f>
        <v>5872</v>
      </c>
      <c r="H31" s="51" t="s">
        <v>79</v>
      </c>
      <c r="I31" s="39">
        <f t="shared" ref="I31:Q31" si="5">SUM(I32:I35)</f>
        <v>6.8450000000000006</v>
      </c>
      <c r="J31" s="188">
        <f>SUM(J32:J35)</f>
        <v>4.5549999999999997</v>
      </c>
      <c r="K31" s="39">
        <f t="shared" si="5"/>
        <v>0</v>
      </c>
      <c r="L31" s="39">
        <f t="shared" si="5"/>
        <v>4.5549999999999997</v>
      </c>
      <c r="M31" s="39">
        <f t="shared" si="5"/>
        <v>3.4225000000000003</v>
      </c>
      <c r="N31" s="39">
        <f t="shared" si="5"/>
        <v>5.1337499999999991</v>
      </c>
      <c r="O31" s="39">
        <f t="shared" si="5"/>
        <v>6.8450000000000006</v>
      </c>
      <c r="P31" s="39">
        <f t="shared" si="5"/>
        <v>0</v>
      </c>
      <c r="Q31" s="191">
        <f t="shared" si="5"/>
        <v>6.8450000000000006</v>
      </c>
    </row>
    <row r="32" spans="2:17" outlineLevel="1" x14ac:dyDescent="0.35">
      <c r="B32" s="23" t="s">
        <v>53</v>
      </c>
      <c r="C32" s="197">
        <v>4767</v>
      </c>
      <c r="D32" s="41">
        <v>2792</v>
      </c>
      <c r="E32" s="41">
        <v>1910</v>
      </c>
      <c r="F32" s="42">
        <v>3412</v>
      </c>
      <c r="G32" s="42">
        <v>1540</v>
      </c>
      <c r="H32" s="43"/>
      <c r="I32" s="179">
        <v>2.29</v>
      </c>
      <c r="J32" s="201">
        <v>0</v>
      </c>
      <c r="K32" s="38"/>
      <c r="L32" s="200">
        <v>0</v>
      </c>
      <c r="M32" s="9">
        <f>I32*0.5</f>
        <v>1.145</v>
      </c>
      <c r="N32" s="9">
        <f>I32*0.75</f>
        <v>1.7175</v>
      </c>
      <c r="O32" s="38">
        <f>I32</f>
        <v>2.29</v>
      </c>
      <c r="Q32" s="174">
        <f>I32</f>
        <v>2.29</v>
      </c>
    </row>
    <row r="33" spans="2:17" outlineLevel="1" x14ac:dyDescent="0.35">
      <c r="B33" s="23" t="s">
        <v>54</v>
      </c>
      <c r="C33" s="197">
        <v>4048</v>
      </c>
      <c r="D33" s="42">
        <v>2371</v>
      </c>
      <c r="E33" s="42">
        <v>1622</v>
      </c>
      <c r="F33" s="42">
        <v>2897</v>
      </c>
      <c r="G33" s="42">
        <v>1308</v>
      </c>
      <c r="H33" s="43"/>
      <c r="I33" s="179">
        <v>1.95</v>
      </c>
      <c r="J33" s="187">
        <f>I33</f>
        <v>1.95</v>
      </c>
      <c r="K33" s="38"/>
      <c r="L33" s="38">
        <f>I33</f>
        <v>1.95</v>
      </c>
      <c r="M33" s="9">
        <f>I33*0.5</f>
        <v>0.97499999999999998</v>
      </c>
      <c r="N33" s="9">
        <f>I33*0.75</f>
        <v>1.4624999999999999</v>
      </c>
      <c r="O33" s="38">
        <f>I33</f>
        <v>1.95</v>
      </c>
      <c r="Q33" s="174">
        <f>I33</f>
        <v>1.95</v>
      </c>
    </row>
    <row r="34" spans="2:17" outlineLevel="1" x14ac:dyDescent="0.35">
      <c r="B34" s="23" t="s">
        <v>55</v>
      </c>
      <c r="C34" s="197">
        <v>5415</v>
      </c>
      <c r="D34" s="42">
        <v>3171</v>
      </c>
      <c r="E34" s="42">
        <v>2169</v>
      </c>
      <c r="F34" s="42">
        <v>3876</v>
      </c>
      <c r="G34" s="42">
        <v>1749</v>
      </c>
      <c r="H34" s="43"/>
      <c r="I34" s="179">
        <v>2.605</v>
      </c>
      <c r="J34" s="187">
        <f>I34</f>
        <v>2.605</v>
      </c>
      <c r="K34" s="38"/>
      <c r="L34" s="38">
        <f>I34</f>
        <v>2.605</v>
      </c>
      <c r="M34" s="9">
        <f>I34*0.5</f>
        <v>1.3025</v>
      </c>
      <c r="N34" s="9">
        <f>I34*0.75</f>
        <v>1.9537499999999999</v>
      </c>
      <c r="O34" s="38">
        <f>I34</f>
        <v>2.605</v>
      </c>
      <c r="Q34" s="174">
        <f>I34</f>
        <v>2.605</v>
      </c>
    </row>
    <row r="35" spans="2:17" ht="29" outlineLevel="1" x14ac:dyDescent="0.35">
      <c r="B35" s="65" t="s">
        <v>59</v>
      </c>
      <c r="C35" s="197">
        <v>3948</v>
      </c>
      <c r="D35" s="42">
        <v>2312</v>
      </c>
      <c r="E35" s="42">
        <v>1582</v>
      </c>
      <c r="F35" s="42">
        <v>2826</v>
      </c>
      <c r="G35" s="42">
        <v>1275</v>
      </c>
      <c r="H35" s="43"/>
      <c r="I35" s="185">
        <v>0</v>
      </c>
      <c r="J35" s="187">
        <f>I35*0.75</f>
        <v>0</v>
      </c>
      <c r="K35" s="38"/>
      <c r="L35" s="38">
        <f>I35</f>
        <v>0</v>
      </c>
      <c r="M35" s="9">
        <f>I35*0.5</f>
        <v>0</v>
      </c>
      <c r="N35" s="9">
        <f>I35*0.75</f>
        <v>0</v>
      </c>
      <c r="O35" s="38">
        <f>I35</f>
        <v>0</v>
      </c>
      <c r="Q35" s="174">
        <f>I35</f>
        <v>0</v>
      </c>
    </row>
    <row r="36" spans="2:17" x14ac:dyDescent="0.35">
      <c r="B36" s="296"/>
      <c r="C36" s="197"/>
      <c r="F36" s="42"/>
      <c r="H36" s="32"/>
      <c r="J36" s="70"/>
      <c r="Q36" s="71"/>
    </row>
    <row r="37" spans="2:17" s="4" customFormat="1" x14ac:dyDescent="0.35">
      <c r="B37" s="26" t="s">
        <v>58</v>
      </c>
      <c r="C37" s="196">
        <f>SUM(C38:C41)</f>
        <v>24692</v>
      </c>
      <c r="D37" s="27">
        <f>SUM(D38:D41)</f>
        <v>14461</v>
      </c>
      <c r="E37" s="27">
        <f>SUM(E38:E41)</f>
        <v>9892</v>
      </c>
      <c r="F37" s="27">
        <f>SUM(F38:F41)</f>
        <v>17673</v>
      </c>
      <c r="G37" s="27">
        <f>SUM(G38:G41)</f>
        <v>7977</v>
      </c>
      <c r="H37" s="51" t="s">
        <v>79</v>
      </c>
      <c r="I37" s="39">
        <f t="shared" ref="I37:Q37" si="6">SUM(I38:I41)</f>
        <v>9.0050000000000008</v>
      </c>
      <c r="J37" s="188">
        <f>SUM(J38:J41)</f>
        <v>6.7149999999999999</v>
      </c>
      <c r="K37" s="39">
        <f t="shared" si="6"/>
        <v>0</v>
      </c>
      <c r="L37" s="39">
        <f t="shared" si="6"/>
        <v>6.7149999999999999</v>
      </c>
      <c r="M37" s="39">
        <f t="shared" si="6"/>
        <v>4.5025000000000004</v>
      </c>
      <c r="N37" s="39">
        <f t="shared" si="6"/>
        <v>6.7537499999999993</v>
      </c>
      <c r="O37" s="39">
        <f t="shared" si="6"/>
        <v>9.0050000000000008</v>
      </c>
      <c r="P37" s="39">
        <f t="shared" si="6"/>
        <v>0</v>
      </c>
      <c r="Q37" s="191">
        <f t="shared" si="6"/>
        <v>9.0050000000000008</v>
      </c>
    </row>
    <row r="38" spans="2:17" outlineLevel="1" x14ac:dyDescent="0.35">
      <c r="B38" s="23" t="s">
        <v>53</v>
      </c>
      <c r="C38" s="197">
        <v>4767</v>
      </c>
      <c r="D38" s="41">
        <v>2792</v>
      </c>
      <c r="E38" s="41">
        <v>1910</v>
      </c>
      <c r="F38" s="41">
        <v>3412</v>
      </c>
      <c r="G38" s="41">
        <v>1540</v>
      </c>
      <c r="H38" s="44"/>
      <c r="I38" s="179">
        <v>2.29</v>
      </c>
      <c r="J38" s="201">
        <v>0</v>
      </c>
      <c r="K38" s="38"/>
      <c r="L38" s="200">
        <v>0</v>
      </c>
      <c r="M38" s="9">
        <f>I38*0.5</f>
        <v>1.145</v>
      </c>
      <c r="N38" s="9">
        <f>I38*0.75</f>
        <v>1.7175</v>
      </c>
      <c r="O38" s="38">
        <f>I38</f>
        <v>2.29</v>
      </c>
      <c r="Q38" s="174">
        <f>I38</f>
        <v>2.29</v>
      </c>
    </row>
    <row r="39" spans="2:17" outlineLevel="1" x14ac:dyDescent="0.35">
      <c r="B39" s="23" t="s">
        <v>54</v>
      </c>
      <c r="C39" s="197">
        <v>4048</v>
      </c>
      <c r="D39" s="41">
        <v>2371</v>
      </c>
      <c r="E39" s="41">
        <v>1622</v>
      </c>
      <c r="F39" s="41">
        <v>2897</v>
      </c>
      <c r="G39" s="41">
        <v>1308</v>
      </c>
      <c r="H39" s="44"/>
      <c r="I39" s="179">
        <v>1.95</v>
      </c>
      <c r="J39" s="187">
        <f>I39</f>
        <v>1.95</v>
      </c>
      <c r="K39" s="38"/>
      <c r="L39" s="38">
        <f>I39</f>
        <v>1.95</v>
      </c>
      <c r="M39" s="9">
        <f>I39*0.5</f>
        <v>0.97499999999999998</v>
      </c>
      <c r="N39" s="9">
        <f>I39*0.75</f>
        <v>1.4624999999999999</v>
      </c>
      <c r="O39" s="38">
        <f>I39</f>
        <v>1.95</v>
      </c>
      <c r="Q39" s="174">
        <f>I39</f>
        <v>1.95</v>
      </c>
    </row>
    <row r="40" spans="2:17" outlineLevel="1" x14ac:dyDescent="0.35">
      <c r="B40" s="23" t="s">
        <v>55</v>
      </c>
      <c r="C40" s="197">
        <v>5415</v>
      </c>
      <c r="D40" s="41">
        <v>3171</v>
      </c>
      <c r="E40" s="41">
        <v>2169</v>
      </c>
      <c r="F40" s="41">
        <v>3876</v>
      </c>
      <c r="G40" s="41">
        <v>1749</v>
      </c>
      <c r="H40" s="44"/>
      <c r="I40" s="179">
        <v>2.605</v>
      </c>
      <c r="J40" s="187">
        <f>I40</f>
        <v>2.605</v>
      </c>
      <c r="K40" s="38"/>
      <c r="L40" s="38">
        <f>I40</f>
        <v>2.605</v>
      </c>
      <c r="M40" s="9">
        <f>I40*0.5</f>
        <v>1.3025</v>
      </c>
      <c r="N40" s="9">
        <f>I40*0.75</f>
        <v>1.9537499999999999</v>
      </c>
      <c r="O40" s="38">
        <f>I40</f>
        <v>2.605</v>
      </c>
      <c r="Q40" s="174">
        <f>I40</f>
        <v>2.605</v>
      </c>
    </row>
    <row r="41" spans="2:17" ht="29" outlineLevel="1" x14ac:dyDescent="0.35">
      <c r="B41" s="65" t="s">
        <v>60</v>
      </c>
      <c r="C41" s="197">
        <v>10462</v>
      </c>
      <c r="D41" s="41">
        <v>6127</v>
      </c>
      <c r="E41" s="41">
        <v>4191</v>
      </c>
      <c r="F41" s="41">
        <v>7488</v>
      </c>
      <c r="G41" s="41">
        <v>3380</v>
      </c>
      <c r="H41" s="44"/>
      <c r="I41" s="179">
        <v>2.16</v>
      </c>
      <c r="J41" s="187">
        <f>I41</f>
        <v>2.16</v>
      </c>
      <c r="K41" s="38"/>
      <c r="L41" s="38">
        <f>I41</f>
        <v>2.16</v>
      </c>
      <c r="M41" s="9">
        <f>I41*0.5</f>
        <v>1.08</v>
      </c>
      <c r="N41" s="9">
        <f>I41*0.75</f>
        <v>1.62</v>
      </c>
      <c r="O41" s="38">
        <f>I41</f>
        <v>2.16</v>
      </c>
      <c r="Q41" s="174">
        <f>I41</f>
        <v>2.16</v>
      </c>
    </row>
    <row r="42" spans="2:17" x14ac:dyDescent="0.35">
      <c r="B42" s="15"/>
      <c r="C42" s="70"/>
      <c r="H42" s="32"/>
      <c r="J42" s="70"/>
      <c r="Q42" s="71"/>
    </row>
    <row r="43" spans="2:17" x14ac:dyDescent="0.35">
      <c r="B43" s="15"/>
      <c r="C43" s="70"/>
      <c r="H43" s="32"/>
      <c r="J43" s="70"/>
      <c r="Q43" s="71"/>
    </row>
    <row r="44" spans="2:17" ht="15.5" x14ac:dyDescent="0.35">
      <c r="B44" s="195" t="s">
        <v>24</v>
      </c>
      <c r="C44" s="70"/>
      <c r="G44" s="71"/>
      <c r="H44" s="32"/>
      <c r="J44" s="70"/>
      <c r="Q44" s="71"/>
    </row>
    <row r="45" spans="2:17" x14ac:dyDescent="0.35">
      <c r="B45" s="6" t="s">
        <v>25</v>
      </c>
      <c r="C45" s="198">
        <v>263</v>
      </c>
      <c r="D45" s="75">
        <v>163</v>
      </c>
      <c r="E45" s="75">
        <v>109</v>
      </c>
      <c r="F45" s="76">
        <v>188</v>
      </c>
      <c r="G45" s="77">
        <v>86</v>
      </c>
      <c r="H45" s="32"/>
      <c r="I45" s="293">
        <v>0</v>
      </c>
      <c r="J45" s="179">
        <v>0</v>
      </c>
      <c r="K45" s="179">
        <v>0</v>
      </c>
      <c r="L45" s="179">
        <v>0</v>
      </c>
      <c r="M45" s="9">
        <v>0</v>
      </c>
      <c r="N45" s="9">
        <v>0</v>
      </c>
      <c r="O45" s="183">
        <v>0</v>
      </c>
      <c r="P45" s="183">
        <v>0</v>
      </c>
      <c r="Q45" s="192">
        <v>0</v>
      </c>
    </row>
    <row r="46" spans="2:17" x14ac:dyDescent="0.35">
      <c r="B46" s="6" t="s">
        <v>26</v>
      </c>
      <c r="C46" s="198">
        <v>1339</v>
      </c>
      <c r="D46" s="75">
        <v>1339</v>
      </c>
      <c r="E46" s="75">
        <v>1339</v>
      </c>
      <c r="F46" s="76">
        <v>1339</v>
      </c>
      <c r="G46" s="77">
        <v>1339</v>
      </c>
      <c r="H46" s="32"/>
      <c r="I46" s="71">
        <v>0.41</v>
      </c>
      <c r="J46" s="9">
        <v>0.5</v>
      </c>
      <c r="K46" s="9">
        <v>0</v>
      </c>
      <c r="L46" s="9">
        <v>0.5</v>
      </c>
      <c r="M46" s="9">
        <v>0.5</v>
      </c>
      <c r="N46" s="9">
        <v>0.5</v>
      </c>
      <c r="O46" s="9">
        <v>0.5</v>
      </c>
      <c r="P46" s="9">
        <v>0.5</v>
      </c>
      <c r="Q46" s="193">
        <v>0.5</v>
      </c>
    </row>
    <row r="47" spans="2:17" x14ac:dyDescent="0.35">
      <c r="B47" s="6" t="s">
        <v>27</v>
      </c>
      <c r="C47" s="198">
        <v>1101</v>
      </c>
      <c r="D47" s="75">
        <v>1101</v>
      </c>
      <c r="E47" s="75">
        <v>1101</v>
      </c>
      <c r="F47" s="76">
        <v>1101</v>
      </c>
      <c r="G47" s="77">
        <v>1101</v>
      </c>
      <c r="H47" s="32"/>
      <c r="I47" s="71">
        <v>0.35</v>
      </c>
      <c r="J47" s="9">
        <v>0.35</v>
      </c>
      <c r="K47" s="9">
        <v>0</v>
      </c>
      <c r="L47" s="9">
        <v>0.35</v>
      </c>
      <c r="M47" s="9">
        <v>0.35</v>
      </c>
      <c r="N47" s="9">
        <v>0.35</v>
      </c>
      <c r="O47" s="9">
        <v>0.35</v>
      </c>
      <c r="P47" s="9">
        <v>0.35</v>
      </c>
      <c r="Q47" s="193">
        <v>0.35</v>
      </c>
    </row>
    <row r="48" spans="2:17" x14ac:dyDescent="0.35">
      <c r="B48" s="15"/>
      <c r="C48" s="70"/>
      <c r="H48" s="32"/>
      <c r="I48" s="71"/>
      <c r="Q48" s="71"/>
    </row>
    <row r="49" spans="2:17" x14ac:dyDescent="0.35">
      <c r="B49" s="15"/>
      <c r="C49" s="70"/>
      <c r="H49" s="32"/>
      <c r="J49" s="70"/>
      <c r="Q49" s="71"/>
    </row>
    <row r="50" spans="2:17" s="4" customFormat="1" ht="29" x14ac:dyDescent="0.35">
      <c r="B50" s="66" t="s">
        <v>157</v>
      </c>
      <c r="C50" s="199">
        <f>+C8+C31</f>
        <v>43489</v>
      </c>
      <c r="D50" s="28">
        <f>+D8+D31</f>
        <v>25467</v>
      </c>
      <c r="E50" s="28">
        <f>+E8+E31</f>
        <v>17422</v>
      </c>
      <c r="F50" s="28">
        <f>+F8+F31</f>
        <v>31128</v>
      </c>
      <c r="G50" s="28">
        <f>+G8+G31</f>
        <v>14046</v>
      </c>
      <c r="H50" s="35">
        <f>+H8</f>
        <v>5.5545</v>
      </c>
      <c r="I50" s="31">
        <f>+I8+I31</f>
        <v>18.020000000000003</v>
      </c>
      <c r="J50" s="189">
        <f>J10+J31</f>
        <v>10.992200000000002</v>
      </c>
      <c r="K50" s="31">
        <f>+K8+K31</f>
        <v>0</v>
      </c>
      <c r="L50" s="31">
        <f>L10+L31</f>
        <v>10.992200000000002</v>
      </c>
      <c r="M50" s="31">
        <f>+M8+M31</f>
        <v>9.0100000000000016</v>
      </c>
      <c r="N50" s="31">
        <f>+N8+N31</f>
        <v>13.515000000000001</v>
      </c>
      <c r="O50" s="31">
        <f>+O8+O31</f>
        <v>18.020000000000003</v>
      </c>
      <c r="P50" s="31">
        <f>+P8+P31</f>
        <v>0</v>
      </c>
      <c r="Q50" s="194">
        <f>+Q8+Q31</f>
        <v>18.020000000000003</v>
      </c>
    </row>
    <row r="51" spans="2:17" s="4" customFormat="1" ht="29" x14ac:dyDescent="0.35">
      <c r="B51" s="66" t="s">
        <v>158</v>
      </c>
      <c r="C51" s="199">
        <f>+C8+C37</f>
        <v>50003</v>
      </c>
      <c r="D51" s="28">
        <f>+D8+D37</f>
        <v>29282</v>
      </c>
      <c r="E51" s="28">
        <f>+E8+E37</f>
        <v>20031</v>
      </c>
      <c r="F51" s="28">
        <f>+F8+F37</f>
        <v>35790</v>
      </c>
      <c r="G51" s="28">
        <f>+G8+G37</f>
        <v>16151</v>
      </c>
      <c r="H51" s="35">
        <f>+H8</f>
        <v>5.5545</v>
      </c>
      <c r="I51" s="31">
        <f>+I8+I37</f>
        <v>20.18</v>
      </c>
      <c r="J51" s="189">
        <f>J11+J37-0.01</f>
        <v>12.299799999999999</v>
      </c>
      <c r="K51" s="31">
        <f>+K8+K37</f>
        <v>0</v>
      </c>
      <c r="L51" s="31">
        <f>L11+L37-0.01</f>
        <v>12.299799999999999</v>
      </c>
      <c r="M51" s="31">
        <f>+M8+M37</f>
        <v>10.09</v>
      </c>
      <c r="N51" s="31">
        <f>+N8+N37</f>
        <v>15.135000000000002</v>
      </c>
      <c r="O51" s="31">
        <f>+O8+O37</f>
        <v>20.18</v>
      </c>
      <c r="P51" s="31">
        <f>+P8+P37</f>
        <v>0</v>
      </c>
      <c r="Q51" s="194">
        <f>+Q8+Q37</f>
        <v>20.18</v>
      </c>
    </row>
    <row r="52" spans="2:17" x14ac:dyDescent="0.35">
      <c r="B52" s="15"/>
      <c r="C52" s="70"/>
      <c r="H52" s="32"/>
      <c r="J52" s="70"/>
      <c r="Q52" s="71"/>
    </row>
    <row r="53" spans="2:17" x14ac:dyDescent="0.35">
      <c r="C53" s="70"/>
      <c r="H53" s="32"/>
      <c r="J53" s="70"/>
      <c r="Q53" s="71"/>
    </row>
    <row r="54" spans="2:17" ht="15.5" x14ac:dyDescent="0.35">
      <c r="B54" s="61" t="s">
        <v>28</v>
      </c>
      <c r="C54" s="197"/>
      <c r="D54" s="41"/>
      <c r="E54" s="41"/>
      <c r="F54" s="41"/>
      <c r="G54" s="41"/>
      <c r="H54" s="32"/>
      <c r="J54" s="70"/>
      <c r="Q54" s="71"/>
    </row>
    <row r="55" spans="2:17" x14ac:dyDescent="0.35">
      <c r="B55" t="s">
        <v>29</v>
      </c>
      <c r="C55" s="197">
        <v>1971</v>
      </c>
      <c r="D55" s="41">
        <v>1154</v>
      </c>
      <c r="E55" s="41">
        <v>789</v>
      </c>
      <c r="F55" s="42">
        <v>1410</v>
      </c>
      <c r="G55" s="42">
        <v>637</v>
      </c>
      <c r="H55" s="32"/>
      <c r="I55" s="63">
        <v>1.04</v>
      </c>
      <c r="J55" s="109">
        <v>1.04</v>
      </c>
      <c r="L55" s="63">
        <v>1.04</v>
      </c>
      <c r="M55" s="63">
        <v>1.04</v>
      </c>
      <c r="N55" s="63">
        <v>1.04</v>
      </c>
      <c r="O55" s="63">
        <v>1.04</v>
      </c>
      <c r="P55" s="179">
        <v>0</v>
      </c>
      <c r="Q55" s="111">
        <v>1.04</v>
      </c>
    </row>
    <row r="56" spans="2:17" x14ac:dyDescent="0.35">
      <c r="C56" s="25"/>
      <c r="D56" s="41"/>
      <c r="E56" s="41"/>
      <c r="F56" s="42"/>
      <c r="G56" s="42"/>
      <c r="I56" s="63"/>
      <c r="J56" s="63"/>
      <c r="L56" s="63"/>
      <c r="M56" s="63"/>
      <c r="N56" s="63"/>
      <c r="O56" s="63"/>
      <c r="P56" s="179"/>
      <c r="Q56" s="63"/>
    </row>
    <row r="57" spans="2:17" x14ac:dyDescent="0.35">
      <c r="C57" s="25"/>
      <c r="D57" s="41"/>
      <c r="E57" s="41"/>
      <c r="F57" s="42"/>
      <c r="G57" s="42"/>
      <c r="I57" s="63"/>
      <c r="J57" s="63"/>
      <c r="L57" s="63"/>
      <c r="M57" s="63"/>
      <c r="N57" s="63"/>
      <c r="O57" s="63"/>
      <c r="P57" s="179"/>
      <c r="Q57" s="63"/>
    </row>
    <row r="58" spans="2:17" x14ac:dyDescent="0.35">
      <c r="C58" s="25"/>
      <c r="D58" s="41"/>
      <c r="E58" s="41"/>
      <c r="F58" s="42"/>
      <c r="G58" s="42"/>
      <c r="I58" s="63"/>
      <c r="J58" s="63"/>
      <c r="L58" s="63"/>
      <c r="M58" s="63"/>
      <c r="N58" s="63"/>
      <c r="O58" s="63"/>
      <c r="P58" s="179"/>
      <c r="Q58" s="63"/>
    </row>
    <row r="59" spans="2:17" x14ac:dyDescent="0.35">
      <c r="C59" s="25"/>
      <c r="D59" s="41"/>
      <c r="E59" s="41"/>
      <c r="F59" s="42"/>
      <c r="G59" s="42"/>
      <c r="I59" s="63"/>
      <c r="J59" s="63"/>
      <c r="L59" s="63"/>
      <c r="M59" s="63"/>
      <c r="N59" s="63"/>
      <c r="O59" s="63"/>
      <c r="P59" s="179"/>
      <c r="Q59" s="63"/>
    </row>
    <row r="60" spans="2:17" x14ac:dyDescent="0.35">
      <c r="C60" s="25"/>
      <c r="D60" s="41"/>
      <c r="E60" s="41"/>
      <c r="F60" s="42"/>
      <c r="G60" s="42"/>
      <c r="I60" s="63"/>
      <c r="J60" s="63"/>
      <c r="L60" s="63"/>
      <c r="M60" s="63"/>
      <c r="N60" s="63"/>
      <c r="O60" s="63"/>
      <c r="P60" s="179"/>
      <c r="Q60" s="63"/>
    </row>
    <row r="61" spans="2:17" x14ac:dyDescent="0.35">
      <c r="C61" s="25"/>
      <c r="D61" s="41"/>
      <c r="E61" s="41"/>
      <c r="F61" s="42"/>
      <c r="G61" s="42"/>
      <c r="I61" s="63"/>
      <c r="J61" s="63"/>
      <c r="L61" s="63"/>
      <c r="M61" s="63"/>
      <c r="N61" s="63"/>
      <c r="O61" s="63"/>
      <c r="P61" s="179"/>
      <c r="Q61" s="63"/>
    </row>
    <row r="62" spans="2:17" x14ac:dyDescent="0.35">
      <c r="C62" s="25"/>
      <c r="D62" s="41"/>
      <c r="E62" s="41"/>
      <c r="F62" s="42"/>
      <c r="G62" s="42"/>
      <c r="I62" s="63"/>
      <c r="J62" s="63"/>
      <c r="L62" s="63"/>
      <c r="M62" s="63"/>
      <c r="N62" s="63"/>
      <c r="O62" s="63"/>
      <c r="P62" s="179"/>
      <c r="Q62" s="63"/>
    </row>
    <row r="63" spans="2:17" x14ac:dyDescent="0.35">
      <c r="C63" s="25"/>
      <c r="D63" s="41"/>
      <c r="E63" s="41"/>
      <c r="F63" s="42"/>
      <c r="G63" s="42"/>
      <c r="I63" s="63"/>
      <c r="J63" s="63"/>
      <c r="L63" s="63"/>
      <c r="M63" s="63"/>
      <c r="N63" s="63"/>
      <c r="O63" s="63"/>
      <c r="P63" s="179"/>
      <c r="Q63" s="63"/>
    </row>
    <row r="64" spans="2:17" x14ac:dyDescent="0.35">
      <c r="C64" s="25"/>
      <c r="D64" s="41"/>
      <c r="E64" s="41"/>
      <c r="F64" s="42"/>
      <c r="G64" s="42"/>
      <c r="I64" s="63"/>
      <c r="J64" s="63"/>
      <c r="L64" s="63"/>
      <c r="M64" s="63"/>
      <c r="N64" s="63"/>
      <c r="O64" s="63"/>
      <c r="P64" s="179"/>
      <c r="Q64" s="63"/>
    </row>
    <row r="65" spans="3:17" x14ac:dyDescent="0.35">
      <c r="C65" s="25"/>
      <c r="D65" s="41"/>
      <c r="E65" s="41"/>
      <c r="F65" s="42"/>
      <c r="G65" s="42"/>
      <c r="I65" s="63"/>
      <c r="J65" s="63"/>
      <c r="L65" s="63"/>
      <c r="M65" s="63"/>
      <c r="N65" s="63"/>
      <c r="O65" s="63"/>
      <c r="P65" s="179"/>
      <c r="Q65" s="63"/>
    </row>
    <row r="66" spans="3:17" x14ac:dyDescent="0.35">
      <c r="C66" s="25"/>
      <c r="D66" s="41"/>
      <c r="E66" s="41"/>
      <c r="F66" s="42"/>
      <c r="G66" s="42"/>
      <c r="I66" s="63"/>
      <c r="J66" s="63"/>
      <c r="L66" s="63"/>
      <c r="M66" s="63"/>
      <c r="N66" s="63"/>
      <c r="O66" s="63"/>
      <c r="P66" s="179"/>
      <c r="Q66" s="63"/>
    </row>
    <row r="67" spans="3:17" x14ac:dyDescent="0.35">
      <c r="C67" s="25"/>
      <c r="D67" s="41"/>
      <c r="E67" s="41"/>
      <c r="F67" s="42"/>
      <c r="G67" s="42"/>
      <c r="I67" s="63"/>
      <c r="J67" s="63"/>
      <c r="L67" s="63"/>
      <c r="M67" s="63"/>
      <c r="N67" s="63"/>
      <c r="O67" s="63"/>
      <c r="P67" s="179"/>
      <c r="Q67" s="63"/>
    </row>
    <row r="68" spans="3:17" x14ac:dyDescent="0.35">
      <c r="C68" s="25"/>
      <c r="D68" s="41"/>
      <c r="E68" s="41"/>
      <c r="F68" s="42"/>
      <c r="G68" s="42"/>
      <c r="I68" s="63"/>
      <c r="J68" s="63"/>
      <c r="L68" s="63"/>
      <c r="M68" s="63"/>
      <c r="N68" s="63"/>
      <c r="O68" s="63"/>
      <c r="P68" s="179"/>
      <c r="Q68" s="63"/>
    </row>
    <row r="69" spans="3:17" x14ac:dyDescent="0.35">
      <c r="C69" s="25"/>
      <c r="D69" s="41"/>
      <c r="E69" s="41"/>
      <c r="F69" s="42"/>
      <c r="G69" s="42"/>
      <c r="I69" s="63"/>
      <c r="J69" s="63"/>
      <c r="L69" s="63"/>
      <c r="M69" s="63"/>
      <c r="N69" s="63"/>
      <c r="O69" s="63"/>
      <c r="P69" s="179"/>
      <c r="Q69" s="63"/>
    </row>
    <row r="70" spans="3:17" x14ac:dyDescent="0.35">
      <c r="C70" s="25"/>
      <c r="D70" s="41"/>
      <c r="E70" s="41"/>
      <c r="F70" s="42"/>
      <c r="G70" s="42"/>
      <c r="I70" s="63"/>
      <c r="J70" s="63"/>
      <c r="L70" s="63"/>
      <c r="M70" s="63"/>
      <c r="N70" s="63"/>
      <c r="O70" s="63"/>
      <c r="P70" s="179"/>
      <c r="Q70" s="63"/>
    </row>
    <row r="71" spans="3:17" x14ac:dyDescent="0.35">
      <c r="C71" s="25"/>
      <c r="D71" s="41"/>
      <c r="E71" s="41"/>
      <c r="F71" s="42"/>
      <c r="G71" s="42"/>
      <c r="I71" s="63"/>
      <c r="J71" s="63"/>
      <c r="L71" s="63"/>
      <c r="M71" s="63"/>
      <c r="N71" s="63"/>
      <c r="O71" s="63"/>
      <c r="P71" s="179"/>
      <c r="Q71" s="63"/>
    </row>
    <row r="72" spans="3:17" x14ac:dyDescent="0.35">
      <c r="C72" s="25"/>
      <c r="D72" s="41"/>
      <c r="E72" s="41"/>
      <c r="F72" s="42"/>
      <c r="G72" s="42"/>
      <c r="I72" s="63"/>
      <c r="J72" s="63"/>
      <c r="L72" s="63"/>
      <c r="M72" s="63"/>
      <c r="N72" s="63"/>
      <c r="O72" s="63"/>
      <c r="P72" s="179"/>
      <c r="Q72" s="63"/>
    </row>
    <row r="73" spans="3:17" x14ac:dyDescent="0.35">
      <c r="C73" s="25"/>
      <c r="D73" s="41"/>
      <c r="E73" s="41"/>
      <c r="F73" s="42"/>
      <c r="G73" s="42"/>
      <c r="I73" s="63"/>
      <c r="J73" s="63"/>
      <c r="L73" s="63"/>
      <c r="M73" s="63"/>
      <c r="N73" s="63"/>
      <c r="O73" s="63"/>
      <c r="P73" s="179"/>
      <c r="Q73" s="63"/>
    </row>
    <row r="74" spans="3:17" x14ac:dyDescent="0.35">
      <c r="C74" s="25"/>
      <c r="D74" s="41"/>
      <c r="E74" s="41"/>
      <c r="F74" s="42"/>
      <c r="G74" s="42"/>
      <c r="I74" s="63"/>
      <c r="J74" s="63"/>
      <c r="L74" s="63"/>
      <c r="M74" s="63"/>
      <c r="N74" s="63"/>
      <c r="O74" s="63"/>
      <c r="P74" s="179"/>
      <c r="Q74" s="63"/>
    </row>
    <row r="75" spans="3:17" x14ac:dyDescent="0.35">
      <c r="C75" s="25"/>
      <c r="D75" s="41"/>
      <c r="E75" s="41"/>
      <c r="F75" s="42"/>
      <c r="G75" s="42"/>
      <c r="I75" s="63"/>
      <c r="J75" s="63"/>
      <c r="L75" s="63"/>
      <c r="M75" s="63"/>
      <c r="N75" s="63"/>
      <c r="O75" s="63"/>
      <c r="P75" s="179"/>
      <c r="Q75" s="63"/>
    </row>
    <row r="76" spans="3:17" x14ac:dyDescent="0.35">
      <c r="C76" s="25"/>
      <c r="D76" s="41"/>
      <c r="E76" s="41"/>
      <c r="F76" s="42"/>
      <c r="G76" s="42"/>
      <c r="I76" s="63"/>
      <c r="J76" s="63"/>
      <c r="L76" s="63"/>
      <c r="M76" s="63"/>
      <c r="N76" s="63"/>
      <c r="O76" s="63"/>
      <c r="P76" s="179"/>
      <c r="Q76" s="63"/>
    </row>
    <row r="77" spans="3:17" x14ac:dyDescent="0.35">
      <c r="C77" s="25"/>
      <c r="D77" s="41"/>
      <c r="E77" s="41"/>
      <c r="F77" s="42"/>
      <c r="G77" s="42"/>
      <c r="I77" s="63"/>
      <c r="J77" s="63"/>
      <c r="L77" s="63"/>
      <c r="M77" s="63"/>
      <c r="N77" s="63"/>
      <c r="O77" s="63"/>
      <c r="P77" s="179"/>
      <c r="Q77" s="63"/>
    </row>
    <row r="78" spans="3:17" x14ac:dyDescent="0.35">
      <c r="C78" s="25"/>
      <c r="D78" s="41"/>
      <c r="E78" s="41"/>
      <c r="F78" s="42"/>
      <c r="G78" s="42"/>
      <c r="I78" s="63"/>
      <c r="J78" s="63"/>
      <c r="L78" s="63"/>
      <c r="M78" s="63"/>
      <c r="N78" s="63"/>
      <c r="O78" s="63"/>
      <c r="P78" s="179"/>
      <c r="Q78" s="63"/>
    </row>
    <row r="79" spans="3:17" x14ac:dyDescent="0.35">
      <c r="C79" s="25"/>
      <c r="D79" s="41"/>
      <c r="E79" s="41"/>
      <c r="F79" s="42"/>
      <c r="G79" s="42"/>
      <c r="I79" s="63"/>
      <c r="J79" s="63"/>
      <c r="L79" s="63"/>
      <c r="M79" s="63"/>
      <c r="N79" s="63"/>
      <c r="O79" s="63"/>
      <c r="P79" s="179"/>
      <c r="Q79" s="63"/>
    </row>
    <row r="80" spans="3:17" x14ac:dyDescent="0.35">
      <c r="C80" s="25"/>
      <c r="D80" s="41"/>
      <c r="E80" s="41"/>
      <c r="F80" s="42"/>
      <c r="G80" s="42"/>
      <c r="I80" s="63"/>
      <c r="J80" s="63"/>
      <c r="L80" s="63"/>
      <c r="M80" s="63"/>
      <c r="N80" s="63"/>
      <c r="O80" s="63"/>
      <c r="P80" s="179"/>
      <c r="Q80" s="63"/>
    </row>
    <row r="81" spans="3:17" x14ac:dyDescent="0.35">
      <c r="C81" s="25"/>
      <c r="D81" s="41"/>
      <c r="E81" s="41"/>
      <c r="F81" s="42"/>
      <c r="G81" s="42"/>
      <c r="I81" s="63"/>
      <c r="J81" s="63"/>
      <c r="L81" s="63"/>
      <c r="M81" s="63"/>
      <c r="N81" s="63"/>
      <c r="O81" s="63"/>
      <c r="P81" s="179"/>
      <c r="Q81" s="63"/>
    </row>
    <row r="82" spans="3:17" x14ac:dyDescent="0.35">
      <c r="C82" s="25"/>
      <c r="D82" s="41"/>
      <c r="E82" s="41"/>
      <c r="F82" s="42"/>
      <c r="G82" s="42"/>
      <c r="I82" s="63"/>
      <c r="J82" s="63"/>
      <c r="L82" s="63"/>
      <c r="M82" s="63"/>
      <c r="N82" s="63"/>
      <c r="O82" s="63"/>
      <c r="P82" s="179"/>
      <c r="Q82" s="63"/>
    </row>
    <row r="83" spans="3:17" x14ac:dyDescent="0.35">
      <c r="C83" s="25"/>
      <c r="D83" s="41"/>
      <c r="E83" s="41"/>
      <c r="F83" s="42"/>
      <c r="G83" s="42"/>
      <c r="I83" s="63"/>
      <c r="J83" s="63"/>
      <c r="L83" s="63"/>
      <c r="M83" s="63"/>
      <c r="N83" s="63"/>
      <c r="O83" s="63"/>
      <c r="P83" s="179"/>
      <c r="Q83" s="63"/>
    </row>
    <row r="84" spans="3:17" x14ac:dyDescent="0.35">
      <c r="C84" s="25"/>
      <c r="D84" s="41"/>
      <c r="E84" s="41"/>
      <c r="F84" s="42"/>
      <c r="G84" s="42"/>
      <c r="I84" s="63"/>
      <c r="J84" s="63"/>
      <c r="L84" s="63"/>
      <c r="M84" s="63"/>
      <c r="N84" s="63"/>
      <c r="O84" s="63"/>
      <c r="P84" s="179"/>
      <c r="Q84" s="63"/>
    </row>
    <row r="85" spans="3:17" x14ac:dyDescent="0.35">
      <c r="C85" s="25"/>
      <c r="D85" s="41"/>
      <c r="E85" s="41"/>
      <c r="F85" s="42"/>
      <c r="G85" s="42"/>
      <c r="I85" s="63"/>
      <c r="J85" s="63"/>
      <c r="L85" s="63"/>
      <c r="M85" s="63"/>
      <c r="N85" s="63"/>
      <c r="O85" s="63"/>
      <c r="P85" s="179"/>
      <c r="Q85" s="63"/>
    </row>
    <row r="86" spans="3:17" x14ac:dyDescent="0.35">
      <c r="C86" s="25"/>
      <c r="D86" s="41"/>
      <c r="E86" s="41"/>
      <c r="F86" s="42"/>
      <c r="G86" s="42"/>
      <c r="I86" s="63"/>
      <c r="J86" s="63"/>
      <c r="L86" s="63"/>
      <c r="M86" s="63"/>
      <c r="N86" s="63"/>
      <c r="O86" s="63"/>
      <c r="P86" s="179"/>
      <c r="Q86" s="63"/>
    </row>
    <row r="87" spans="3:17" x14ac:dyDescent="0.35">
      <c r="C87" s="25"/>
      <c r="D87" s="41"/>
      <c r="E87" s="41"/>
      <c r="F87" s="42"/>
      <c r="G87" s="42"/>
      <c r="I87" s="63"/>
      <c r="J87" s="63"/>
      <c r="L87" s="63"/>
      <c r="M87" s="63"/>
      <c r="N87" s="63"/>
      <c r="O87" s="63"/>
      <c r="P87" s="179"/>
      <c r="Q87" s="63"/>
    </row>
    <row r="88" spans="3:17" x14ac:dyDescent="0.35">
      <c r="C88" s="25"/>
      <c r="D88" s="41"/>
      <c r="E88" s="41"/>
      <c r="F88" s="42"/>
      <c r="G88" s="42"/>
      <c r="I88" s="63"/>
      <c r="J88" s="63"/>
      <c r="L88" s="63"/>
      <c r="M88" s="63"/>
      <c r="N88" s="63"/>
      <c r="O88" s="63"/>
      <c r="P88" s="179"/>
      <c r="Q88" s="63"/>
    </row>
    <row r="89" spans="3:17" x14ac:dyDescent="0.35">
      <c r="C89" s="25"/>
      <c r="D89" s="41"/>
      <c r="E89" s="41"/>
      <c r="F89" s="42"/>
      <c r="G89" s="42"/>
      <c r="I89" s="63"/>
      <c r="J89" s="63"/>
      <c r="L89" s="63"/>
      <c r="M89" s="63"/>
      <c r="N89" s="63"/>
      <c r="O89" s="63"/>
      <c r="P89" s="179"/>
      <c r="Q89" s="63"/>
    </row>
    <row r="90" spans="3:17" x14ac:dyDescent="0.35">
      <c r="C90" s="25"/>
      <c r="D90" s="41"/>
      <c r="E90" s="41"/>
      <c r="F90" s="42"/>
      <c r="G90" s="42"/>
      <c r="I90" s="63"/>
      <c r="J90" s="63"/>
      <c r="L90" s="63"/>
      <c r="M90" s="63"/>
      <c r="N90" s="63"/>
      <c r="O90" s="63"/>
      <c r="P90" s="179"/>
      <c r="Q90" s="63"/>
    </row>
    <row r="91" spans="3:17" x14ac:dyDescent="0.35">
      <c r="C91" s="25"/>
      <c r="D91" s="41"/>
      <c r="E91" s="41"/>
      <c r="F91" s="42"/>
      <c r="G91" s="42"/>
      <c r="I91" s="63"/>
      <c r="J91" s="63"/>
      <c r="L91" s="63"/>
      <c r="M91" s="63"/>
      <c r="N91" s="63"/>
      <c r="O91" s="63"/>
      <c r="P91" s="179"/>
      <c r="Q91" s="63"/>
    </row>
    <row r="92" spans="3:17" x14ac:dyDescent="0.35">
      <c r="C92" s="25"/>
      <c r="D92" s="41"/>
      <c r="E92" s="41"/>
      <c r="F92" s="42"/>
      <c r="G92" s="42"/>
      <c r="I92" s="63"/>
      <c r="J92" s="63"/>
      <c r="L92" s="63"/>
      <c r="M92" s="63"/>
      <c r="N92" s="63"/>
      <c r="O92" s="63"/>
      <c r="P92" s="179"/>
      <c r="Q92" s="63"/>
    </row>
    <row r="93" spans="3:17" x14ac:dyDescent="0.35">
      <c r="C93" s="25"/>
      <c r="D93" s="41"/>
      <c r="E93" s="41"/>
      <c r="F93" s="42"/>
      <c r="G93" s="42"/>
      <c r="I93" s="63"/>
      <c r="J93" s="63"/>
      <c r="L93" s="63"/>
      <c r="M93" s="63"/>
      <c r="N93" s="63"/>
      <c r="O93" s="63"/>
      <c r="P93" s="179"/>
      <c r="Q93" s="63"/>
    </row>
    <row r="94" spans="3:17" x14ac:dyDescent="0.35">
      <c r="C94" s="25"/>
      <c r="D94" s="41"/>
      <c r="E94" s="41"/>
      <c r="F94" s="42"/>
      <c r="G94" s="42"/>
      <c r="I94" s="63"/>
      <c r="J94" s="63"/>
      <c r="L94" s="63"/>
      <c r="M94" s="63"/>
      <c r="N94" s="63"/>
      <c r="O94" s="63"/>
      <c r="P94" s="179"/>
      <c r="Q94" s="63"/>
    </row>
    <row r="95" spans="3:17" x14ac:dyDescent="0.35">
      <c r="C95" s="25"/>
      <c r="D95" s="41"/>
      <c r="E95" s="41"/>
      <c r="F95" s="41"/>
      <c r="G95" s="41"/>
    </row>
    <row r="97" spans="2:17" s="180" customFormat="1" x14ac:dyDescent="0.35">
      <c r="D97" s="181"/>
      <c r="E97" s="181"/>
      <c r="F97" s="181"/>
      <c r="G97" s="181"/>
      <c r="H97" s="181"/>
      <c r="I97" s="181"/>
      <c r="J97" s="181"/>
      <c r="K97" s="181"/>
      <c r="L97" s="181"/>
      <c r="M97" s="182"/>
      <c r="N97" s="182"/>
      <c r="O97" s="181"/>
      <c r="P97" s="181"/>
      <c r="Q97" s="181"/>
    </row>
    <row r="98" spans="2:17" ht="15.5" x14ac:dyDescent="0.35">
      <c r="B98" s="61" t="s">
        <v>32</v>
      </c>
    </row>
    <row r="99" spans="2:17" x14ac:dyDescent="0.35">
      <c r="B99" s="296" t="s">
        <v>69</v>
      </c>
    </row>
    <row r="100" spans="2:17" x14ac:dyDescent="0.35">
      <c r="B100" t="s">
        <v>61</v>
      </c>
    </row>
    <row r="101" spans="2:17" x14ac:dyDescent="0.35">
      <c r="B101" t="s">
        <v>110</v>
      </c>
    </row>
    <row r="105" spans="2:17" x14ac:dyDescent="0.35">
      <c r="B105" s="4" t="s">
        <v>68</v>
      </c>
    </row>
    <row r="106" spans="2:17" x14ac:dyDescent="0.35">
      <c r="B106" s="29" t="s">
        <v>62</v>
      </c>
    </row>
    <row r="107" spans="2:17" x14ac:dyDescent="0.35">
      <c r="B107" t="s">
        <v>64</v>
      </c>
    </row>
    <row r="108" spans="2:17" x14ac:dyDescent="0.35">
      <c r="B108" t="s">
        <v>65</v>
      </c>
    </row>
    <row r="109" spans="2:17" x14ac:dyDescent="0.35">
      <c r="B109" t="s">
        <v>66</v>
      </c>
    </row>
    <row r="110" spans="2:17" x14ac:dyDescent="0.35">
      <c r="B110" t="s">
        <v>67</v>
      </c>
    </row>
    <row r="111" spans="2:17" x14ac:dyDescent="0.35">
      <c r="B111" t="s">
        <v>105</v>
      </c>
    </row>
    <row r="112" spans="2:17" x14ac:dyDescent="0.35">
      <c r="B112" t="s">
        <v>70</v>
      </c>
    </row>
    <row r="113" spans="1:2" x14ac:dyDescent="0.35">
      <c r="B113" t="s">
        <v>71</v>
      </c>
    </row>
    <row r="114" spans="1:2" x14ac:dyDescent="0.35">
      <c r="A114" s="54"/>
      <c r="B114" t="s">
        <v>72</v>
      </c>
    </row>
    <row r="115" spans="1:2" x14ac:dyDescent="0.35">
      <c r="A115" s="55" t="s">
        <v>87</v>
      </c>
      <c r="B115" t="s">
        <v>77</v>
      </c>
    </row>
    <row r="116" spans="1:2" x14ac:dyDescent="0.35">
      <c r="A116" s="55"/>
      <c r="B116" t="s">
        <v>108</v>
      </c>
    </row>
    <row r="117" spans="1:2" x14ac:dyDescent="0.35">
      <c r="A117" s="55"/>
      <c r="B117" t="s">
        <v>109</v>
      </c>
    </row>
    <row r="118" spans="1:2" x14ac:dyDescent="0.35">
      <c r="A118" s="55"/>
    </row>
    <row r="119" spans="1:2" x14ac:dyDescent="0.35">
      <c r="A119" s="55"/>
      <c r="B119" s="29" t="s">
        <v>63</v>
      </c>
    </row>
    <row r="120" spans="1:2" x14ac:dyDescent="0.35">
      <c r="A120" s="55"/>
      <c r="B120" s="4"/>
    </row>
    <row r="121" spans="1:2" x14ac:dyDescent="0.35">
      <c r="A121" s="55" t="s">
        <v>88</v>
      </c>
      <c r="B121" t="s">
        <v>73</v>
      </c>
    </row>
    <row r="122" spans="1:2" x14ac:dyDescent="0.35">
      <c r="A122" s="55" t="s">
        <v>89</v>
      </c>
      <c r="B122" t="s">
        <v>74</v>
      </c>
    </row>
    <row r="123" spans="1:2" x14ac:dyDescent="0.35">
      <c r="A123" s="55" t="s">
        <v>90</v>
      </c>
      <c r="B123" t="s">
        <v>9</v>
      </c>
    </row>
    <row r="124" spans="1:2" x14ac:dyDescent="0.35">
      <c r="A124" s="55" t="s">
        <v>91</v>
      </c>
      <c r="B124" t="s">
        <v>76</v>
      </c>
    </row>
    <row r="125" spans="1:2" x14ac:dyDescent="0.35">
      <c r="A125" s="55"/>
      <c r="B125" t="s">
        <v>75</v>
      </c>
    </row>
    <row r="126" spans="1:2" x14ac:dyDescent="0.35">
      <c r="B126" t="s">
        <v>107</v>
      </c>
    </row>
    <row r="132" spans="1:2" x14ac:dyDescent="0.35">
      <c r="A132" t="s">
        <v>16</v>
      </c>
    </row>
    <row r="133" spans="1:2" x14ac:dyDescent="0.35">
      <c r="A133" s="5" t="s">
        <v>82</v>
      </c>
      <c r="B133" s="52" t="s">
        <v>106</v>
      </c>
    </row>
    <row r="134" spans="1:2" x14ac:dyDescent="0.35">
      <c r="A134" s="5" t="s">
        <v>83</v>
      </c>
      <c r="B134" s="53" t="s">
        <v>34</v>
      </c>
    </row>
    <row r="135" spans="1:2" x14ac:dyDescent="0.35">
      <c r="A135" s="5" t="s">
        <v>84</v>
      </c>
      <c r="B135" t="s">
        <v>92</v>
      </c>
    </row>
    <row r="136" spans="1:2" x14ac:dyDescent="0.35">
      <c r="A136" s="5" t="s">
        <v>85</v>
      </c>
      <c r="B136" s="52" t="s">
        <v>93</v>
      </c>
    </row>
    <row r="137" spans="1:2" x14ac:dyDescent="0.35">
      <c r="A137" s="5" t="s">
        <v>86</v>
      </c>
      <c r="B137" s="52" t="s">
        <v>94</v>
      </c>
    </row>
    <row r="138" spans="1:2" x14ac:dyDescent="0.35">
      <c r="B138" s="52"/>
    </row>
    <row r="151" spans="3:3" x14ac:dyDescent="0.35">
      <c r="C151" t="s">
        <v>153</v>
      </c>
    </row>
    <row r="152" spans="3:3" x14ac:dyDescent="0.35">
      <c r="C152" t="s">
        <v>154</v>
      </c>
    </row>
    <row r="153" spans="3:3" x14ac:dyDescent="0.35">
      <c r="C153" t="s">
        <v>80</v>
      </c>
    </row>
    <row r="154" spans="3:3" x14ac:dyDescent="0.35">
      <c r="C154" t="s">
        <v>155</v>
      </c>
    </row>
    <row r="155" spans="3:3" x14ac:dyDescent="0.35">
      <c r="C155" t="s">
        <v>156</v>
      </c>
    </row>
  </sheetData>
  <mergeCells count="7">
    <mergeCell ref="B4:B5"/>
    <mergeCell ref="H5:I5"/>
    <mergeCell ref="B2:O2"/>
    <mergeCell ref="C3:G3"/>
    <mergeCell ref="H3:I3"/>
    <mergeCell ref="J3:L3"/>
    <mergeCell ref="M3:Q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EE757-A2CC-4288-A86D-5416D6D06929}">
  <sheetPr codeName="Sheet15">
    <pageSetUpPr fitToPage="1"/>
  </sheetPr>
  <dimension ref="A1:R111"/>
  <sheetViews>
    <sheetView showGridLines="0" zoomScale="55" zoomScaleNormal="55" workbookViewId="0">
      <pane xSplit="2" ySplit="6" topLeftCell="C7" activePane="bottomRight" state="frozen"/>
      <selection pane="topRight" activeCell="C1" sqref="C1"/>
      <selection pane="bottomLeft" activeCell="A7" sqref="A7"/>
      <selection pane="bottomRight" activeCell="K11" sqref="K11"/>
    </sheetView>
  </sheetViews>
  <sheetFormatPr defaultRowHeight="15.5" x14ac:dyDescent="0.35"/>
  <cols>
    <col min="1" max="1" width="1.7265625" style="310" customWidth="1"/>
    <col min="2" max="2" width="61.1796875" style="310" customWidth="1"/>
    <col min="3" max="3" width="20.26953125" style="310" customWidth="1"/>
    <col min="4" max="7" width="20.26953125" style="311" customWidth="1"/>
    <col min="8" max="8" width="14.81640625" style="311" customWidth="1"/>
    <col min="9" max="9" width="13.1796875" style="311" customWidth="1"/>
    <col min="10" max="10" width="15.26953125" style="311" bestFit="1" customWidth="1"/>
    <col min="11" max="11" width="21" style="311" bestFit="1" customWidth="1"/>
    <col min="12" max="12" width="15.81640625" style="311" customWidth="1"/>
    <col min="13" max="13" width="21" style="311" bestFit="1" customWidth="1"/>
    <col min="14" max="14" width="15" style="313" customWidth="1"/>
    <col min="15" max="15" width="14.81640625" style="313" customWidth="1"/>
    <col min="16" max="16" width="14.54296875" style="311" customWidth="1"/>
    <col min="17" max="18" width="13.81640625" style="311" customWidth="1"/>
    <col min="19" max="19" width="9.26953125" style="310" bestFit="1" customWidth="1"/>
    <col min="20" max="21" width="9.54296875" style="310" bestFit="1" customWidth="1"/>
    <col min="22" max="256" width="9.1796875" style="310"/>
    <col min="257" max="257" width="1.7265625" style="310" customWidth="1"/>
    <col min="258" max="258" width="61.1796875" style="310" customWidth="1"/>
    <col min="259" max="263" width="20.26953125" style="310" customWidth="1"/>
    <col min="264" max="264" width="14.81640625" style="310" customWidth="1"/>
    <col min="265" max="265" width="13.1796875" style="310" customWidth="1"/>
    <col min="266" max="266" width="15.26953125" style="310" bestFit="1" customWidth="1"/>
    <col min="267" max="267" width="21" style="310" bestFit="1" customWidth="1"/>
    <col min="268" max="268" width="15.81640625" style="310" customWidth="1"/>
    <col min="269" max="269" width="21" style="310" bestFit="1" customWidth="1"/>
    <col min="270" max="270" width="15" style="310" customWidth="1"/>
    <col min="271" max="271" width="14.81640625" style="310" customWidth="1"/>
    <col min="272" max="272" width="14.54296875" style="310" customWidth="1"/>
    <col min="273" max="274" width="13.81640625" style="310" customWidth="1"/>
    <col min="275" max="275" width="9.26953125" style="310" bestFit="1" customWidth="1"/>
    <col min="276" max="277" width="9.54296875" style="310" bestFit="1" customWidth="1"/>
    <col min="278" max="512" width="9.1796875" style="310"/>
    <col min="513" max="513" width="1.7265625" style="310" customWidth="1"/>
    <col min="514" max="514" width="61.1796875" style="310" customWidth="1"/>
    <col min="515" max="519" width="20.26953125" style="310" customWidth="1"/>
    <col min="520" max="520" width="14.81640625" style="310" customWidth="1"/>
    <col min="521" max="521" width="13.1796875" style="310" customWidth="1"/>
    <col min="522" max="522" width="15.26953125" style="310" bestFit="1" customWidth="1"/>
    <col min="523" max="523" width="21" style="310" bestFit="1" customWidth="1"/>
    <col min="524" max="524" width="15.81640625" style="310" customWidth="1"/>
    <col min="525" max="525" width="21" style="310" bestFit="1" customWidth="1"/>
    <col min="526" max="526" width="15" style="310" customWidth="1"/>
    <col min="527" max="527" width="14.81640625" style="310" customWidth="1"/>
    <col min="528" max="528" width="14.54296875" style="310" customWidth="1"/>
    <col min="529" max="530" width="13.81640625" style="310" customWidth="1"/>
    <col min="531" max="531" width="9.26953125" style="310" bestFit="1" customWidth="1"/>
    <col min="532" max="533" width="9.54296875" style="310" bestFit="1" customWidth="1"/>
    <col min="534" max="768" width="9.1796875" style="310"/>
    <col min="769" max="769" width="1.7265625" style="310" customWidth="1"/>
    <col min="770" max="770" width="61.1796875" style="310" customWidth="1"/>
    <col min="771" max="775" width="20.26953125" style="310" customWidth="1"/>
    <col min="776" max="776" width="14.81640625" style="310" customWidth="1"/>
    <col min="777" max="777" width="13.1796875" style="310" customWidth="1"/>
    <col min="778" max="778" width="15.26953125" style="310" bestFit="1" customWidth="1"/>
    <col min="779" max="779" width="21" style="310" bestFit="1" customWidth="1"/>
    <col min="780" max="780" width="15.81640625" style="310" customWidth="1"/>
    <col min="781" max="781" width="21" style="310" bestFit="1" customWidth="1"/>
    <col min="782" max="782" width="15" style="310" customWidth="1"/>
    <col min="783" max="783" width="14.81640625" style="310" customWidth="1"/>
    <col min="784" max="784" width="14.54296875" style="310" customWidth="1"/>
    <col min="785" max="786" width="13.81640625" style="310" customWidth="1"/>
    <col min="787" max="787" width="9.26953125" style="310" bestFit="1" customWidth="1"/>
    <col min="788" max="789" width="9.54296875" style="310" bestFit="1" customWidth="1"/>
    <col min="790" max="1024" width="9.1796875" style="310"/>
    <col min="1025" max="1025" width="1.7265625" style="310" customWidth="1"/>
    <col min="1026" max="1026" width="61.1796875" style="310" customWidth="1"/>
    <col min="1027" max="1031" width="20.26953125" style="310" customWidth="1"/>
    <col min="1032" max="1032" width="14.81640625" style="310" customWidth="1"/>
    <col min="1033" max="1033" width="13.1796875" style="310" customWidth="1"/>
    <col min="1034" max="1034" width="15.26953125" style="310" bestFit="1" customWidth="1"/>
    <col min="1035" max="1035" width="21" style="310" bestFit="1" customWidth="1"/>
    <col min="1036" max="1036" width="15.81640625" style="310" customWidth="1"/>
    <col min="1037" max="1037" width="21" style="310" bestFit="1" customWidth="1"/>
    <col min="1038" max="1038" width="15" style="310" customWidth="1"/>
    <col min="1039" max="1039" width="14.81640625" style="310" customWidth="1"/>
    <col min="1040" max="1040" width="14.54296875" style="310" customWidth="1"/>
    <col min="1041" max="1042" width="13.81640625" style="310" customWidth="1"/>
    <col min="1043" max="1043" width="9.26953125" style="310" bestFit="1" customWidth="1"/>
    <col min="1044" max="1045" width="9.54296875" style="310" bestFit="1" customWidth="1"/>
    <col min="1046" max="1280" width="9.1796875" style="310"/>
    <col min="1281" max="1281" width="1.7265625" style="310" customWidth="1"/>
    <col min="1282" max="1282" width="61.1796875" style="310" customWidth="1"/>
    <col min="1283" max="1287" width="20.26953125" style="310" customWidth="1"/>
    <col min="1288" max="1288" width="14.81640625" style="310" customWidth="1"/>
    <col min="1289" max="1289" width="13.1796875" style="310" customWidth="1"/>
    <col min="1290" max="1290" width="15.26953125" style="310" bestFit="1" customWidth="1"/>
    <col min="1291" max="1291" width="21" style="310" bestFit="1" customWidth="1"/>
    <col min="1292" max="1292" width="15.81640625" style="310" customWidth="1"/>
    <col min="1293" max="1293" width="21" style="310" bestFit="1" customWidth="1"/>
    <col min="1294" max="1294" width="15" style="310" customWidth="1"/>
    <col min="1295" max="1295" width="14.81640625" style="310" customWidth="1"/>
    <col min="1296" max="1296" width="14.54296875" style="310" customWidth="1"/>
    <col min="1297" max="1298" width="13.81640625" style="310" customWidth="1"/>
    <col min="1299" max="1299" width="9.26953125" style="310" bestFit="1" customWidth="1"/>
    <col min="1300" max="1301" width="9.54296875" style="310" bestFit="1" customWidth="1"/>
    <col min="1302" max="1536" width="9.1796875" style="310"/>
    <col min="1537" max="1537" width="1.7265625" style="310" customWidth="1"/>
    <col min="1538" max="1538" width="61.1796875" style="310" customWidth="1"/>
    <col min="1539" max="1543" width="20.26953125" style="310" customWidth="1"/>
    <col min="1544" max="1544" width="14.81640625" style="310" customWidth="1"/>
    <col min="1545" max="1545" width="13.1796875" style="310" customWidth="1"/>
    <col min="1546" max="1546" width="15.26953125" style="310" bestFit="1" customWidth="1"/>
    <col min="1547" max="1547" width="21" style="310" bestFit="1" customWidth="1"/>
    <col min="1548" max="1548" width="15.81640625" style="310" customWidth="1"/>
    <col min="1549" max="1549" width="21" style="310" bestFit="1" customWidth="1"/>
    <col min="1550" max="1550" width="15" style="310" customWidth="1"/>
    <col min="1551" max="1551" width="14.81640625" style="310" customWidth="1"/>
    <col min="1552" max="1552" width="14.54296875" style="310" customWidth="1"/>
    <col min="1553" max="1554" width="13.81640625" style="310" customWidth="1"/>
    <col min="1555" max="1555" width="9.26953125" style="310" bestFit="1" customWidth="1"/>
    <col min="1556" max="1557" width="9.54296875" style="310" bestFit="1" customWidth="1"/>
    <col min="1558" max="1792" width="9.1796875" style="310"/>
    <col min="1793" max="1793" width="1.7265625" style="310" customWidth="1"/>
    <col min="1794" max="1794" width="61.1796875" style="310" customWidth="1"/>
    <col min="1795" max="1799" width="20.26953125" style="310" customWidth="1"/>
    <col min="1800" max="1800" width="14.81640625" style="310" customWidth="1"/>
    <col min="1801" max="1801" width="13.1796875" style="310" customWidth="1"/>
    <col min="1802" max="1802" width="15.26953125" style="310" bestFit="1" customWidth="1"/>
    <col min="1803" max="1803" width="21" style="310" bestFit="1" customWidth="1"/>
    <col min="1804" max="1804" width="15.81640625" style="310" customWidth="1"/>
    <col min="1805" max="1805" width="21" style="310" bestFit="1" customWidth="1"/>
    <col min="1806" max="1806" width="15" style="310" customWidth="1"/>
    <col min="1807" max="1807" width="14.81640625" style="310" customWidth="1"/>
    <col min="1808" max="1808" width="14.54296875" style="310" customWidth="1"/>
    <col min="1809" max="1810" width="13.81640625" style="310" customWidth="1"/>
    <col min="1811" max="1811" width="9.26953125" style="310" bestFit="1" customWidth="1"/>
    <col min="1812" max="1813" width="9.54296875" style="310" bestFit="1" customWidth="1"/>
    <col min="1814" max="2048" width="9.1796875" style="310"/>
    <col min="2049" max="2049" width="1.7265625" style="310" customWidth="1"/>
    <col min="2050" max="2050" width="61.1796875" style="310" customWidth="1"/>
    <col min="2051" max="2055" width="20.26953125" style="310" customWidth="1"/>
    <col min="2056" max="2056" width="14.81640625" style="310" customWidth="1"/>
    <col min="2057" max="2057" width="13.1796875" style="310" customWidth="1"/>
    <col min="2058" max="2058" width="15.26953125" style="310" bestFit="1" customWidth="1"/>
    <col min="2059" max="2059" width="21" style="310" bestFit="1" customWidth="1"/>
    <col min="2060" max="2060" width="15.81640625" style="310" customWidth="1"/>
    <col min="2061" max="2061" width="21" style="310" bestFit="1" customWidth="1"/>
    <col min="2062" max="2062" width="15" style="310" customWidth="1"/>
    <col min="2063" max="2063" width="14.81640625" style="310" customWidth="1"/>
    <col min="2064" max="2064" width="14.54296875" style="310" customWidth="1"/>
    <col min="2065" max="2066" width="13.81640625" style="310" customWidth="1"/>
    <col min="2067" max="2067" width="9.26953125" style="310" bestFit="1" customWidth="1"/>
    <col min="2068" max="2069" width="9.54296875" style="310" bestFit="1" customWidth="1"/>
    <col min="2070" max="2304" width="9.1796875" style="310"/>
    <col min="2305" max="2305" width="1.7265625" style="310" customWidth="1"/>
    <col min="2306" max="2306" width="61.1796875" style="310" customWidth="1"/>
    <col min="2307" max="2311" width="20.26953125" style="310" customWidth="1"/>
    <col min="2312" max="2312" width="14.81640625" style="310" customWidth="1"/>
    <col min="2313" max="2313" width="13.1796875" style="310" customWidth="1"/>
    <col min="2314" max="2314" width="15.26953125" style="310" bestFit="1" customWidth="1"/>
    <col min="2315" max="2315" width="21" style="310" bestFit="1" customWidth="1"/>
    <col min="2316" max="2316" width="15.81640625" style="310" customWidth="1"/>
    <col min="2317" max="2317" width="21" style="310" bestFit="1" customWidth="1"/>
    <col min="2318" max="2318" width="15" style="310" customWidth="1"/>
    <col min="2319" max="2319" width="14.81640625" style="310" customWidth="1"/>
    <col min="2320" max="2320" width="14.54296875" style="310" customWidth="1"/>
    <col min="2321" max="2322" width="13.81640625" style="310" customWidth="1"/>
    <col min="2323" max="2323" width="9.26953125" style="310" bestFit="1" customWidth="1"/>
    <col min="2324" max="2325" width="9.54296875" style="310" bestFit="1" customWidth="1"/>
    <col min="2326" max="2560" width="9.1796875" style="310"/>
    <col min="2561" max="2561" width="1.7265625" style="310" customWidth="1"/>
    <col min="2562" max="2562" width="61.1796875" style="310" customWidth="1"/>
    <col min="2563" max="2567" width="20.26953125" style="310" customWidth="1"/>
    <col min="2568" max="2568" width="14.81640625" style="310" customWidth="1"/>
    <col min="2569" max="2569" width="13.1796875" style="310" customWidth="1"/>
    <col min="2570" max="2570" width="15.26953125" style="310" bestFit="1" customWidth="1"/>
    <col min="2571" max="2571" width="21" style="310" bestFit="1" customWidth="1"/>
    <col min="2572" max="2572" width="15.81640625" style="310" customWidth="1"/>
    <col min="2573" max="2573" width="21" style="310" bestFit="1" customWidth="1"/>
    <col min="2574" max="2574" width="15" style="310" customWidth="1"/>
    <col min="2575" max="2575" width="14.81640625" style="310" customWidth="1"/>
    <col min="2576" max="2576" width="14.54296875" style="310" customWidth="1"/>
    <col min="2577" max="2578" width="13.81640625" style="310" customWidth="1"/>
    <col min="2579" max="2579" width="9.26953125" style="310" bestFit="1" customWidth="1"/>
    <col min="2580" max="2581" width="9.54296875" style="310" bestFit="1" customWidth="1"/>
    <col min="2582" max="2816" width="9.1796875" style="310"/>
    <col min="2817" max="2817" width="1.7265625" style="310" customWidth="1"/>
    <col min="2818" max="2818" width="61.1796875" style="310" customWidth="1"/>
    <col min="2819" max="2823" width="20.26953125" style="310" customWidth="1"/>
    <col min="2824" max="2824" width="14.81640625" style="310" customWidth="1"/>
    <col min="2825" max="2825" width="13.1796875" style="310" customWidth="1"/>
    <col min="2826" max="2826" width="15.26953125" style="310" bestFit="1" customWidth="1"/>
    <col min="2827" max="2827" width="21" style="310" bestFit="1" customWidth="1"/>
    <col min="2828" max="2828" width="15.81640625" style="310" customWidth="1"/>
    <col min="2829" max="2829" width="21" style="310" bestFit="1" customWidth="1"/>
    <col min="2830" max="2830" width="15" style="310" customWidth="1"/>
    <col min="2831" max="2831" width="14.81640625" style="310" customWidth="1"/>
    <col min="2832" max="2832" width="14.54296875" style="310" customWidth="1"/>
    <col min="2833" max="2834" width="13.81640625" style="310" customWidth="1"/>
    <col min="2835" max="2835" width="9.26953125" style="310" bestFit="1" customWidth="1"/>
    <col min="2836" max="2837" width="9.54296875" style="310" bestFit="1" customWidth="1"/>
    <col min="2838" max="3072" width="9.1796875" style="310"/>
    <col min="3073" max="3073" width="1.7265625" style="310" customWidth="1"/>
    <col min="3074" max="3074" width="61.1796875" style="310" customWidth="1"/>
    <col min="3075" max="3079" width="20.26953125" style="310" customWidth="1"/>
    <col min="3080" max="3080" width="14.81640625" style="310" customWidth="1"/>
    <col min="3081" max="3081" width="13.1796875" style="310" customWidth="1"/>
    <col min="3082" max="3082" width="15.26953125" style="310" bestFit="1" customWidth="1"/>
    <col min="3083" max="3083" width="21" style="310" bestFit="1" customWidth="1"/>
    <col min="3084" max="3084" width="15.81640625" style="310" customWidth="1"/>
    <col min="3085" max="3085" width="21" style="310" bestFit="1" customWidth="1"/>
    <col min="3086" max="3086" width="15" style="310" customWidth="1"/>
    <col min="3087" max="3087" width="14.81640625" style="310" customWidth="1"/>
    <col min="3088" max="3088" width="14.54296875" style="310" customWidth="1"/>
    <col min="3089" max="3090" width="13.81640625" style="310" customWidth="1"/>
    <col min="3091" max="3091" width="9.26953125" style="310" bestFit="1" customWidth="1"/>
    <col min="3092" max="3093" width="9.54296875" style="310" bestFit="1" customWidth="1"/>
    <col min="3094" max="3328" width="9.1796875" style="310"/>
    <col min="3329" max="3329" width="1.7265625" style="310" customWidth="1"/>
    <col min="3330" max="3330" width="61.1796875" style="310" customWidth="1"/>
    <col min="3331" max="3335" width="20.26953125" style="310" customWidth="1"/>
    <col min="3336" max="3336" width="14.81640625" style="310" customWidth="1"/>
    <col min="3337" max="3337" width="13.1796875" style="310" customWidth="1"/>
    <col min="3338" max="3338" width="15.26953125" style="310" bestFit="1" customWidth="1"/>
    <col min="3339" max="3339" width="21" style="310" bestFit="1" customWidth="1"/>
    <col min="3340" max="3340" width="15.81640625" style="310" customWidth="1"/>
    <col min="3341" max="3341" width="21" style="310" bestFit="1" customWidth="1"/>
    <col min="3342" max="3342" width="15" style="310" customWidth="1"/>
    <col min="3343" max="3343" width="14.81640625" style="310" customWidth="1"/>
    <col min="3344" max="3344" width="14.54296875" style="310" customWidth="1"/>
    <col min="3345" max="3346" width="13.81640625" style="310" customWidth="1"/>
    <col min="3347" max="3347" width="9.26953125" style="310" bestFit="1" customWidth="1"/>
    <col min="3348" max="3349" width="9.54296875" style="310" bestFit="1" customWidth="1"/>
    <col min="3350" max="3584" width="9.1796875" style="310"/>
    <col min="3585" max="3585" width="1.7265625" style="310" customWidth="1"/>
    <col min="3586" max="3586" width="61.1796875" style="310" customWidth="1"/>
    <col min="3587" max="3591" width="20.26953125" style="310" customWidth="1"/>
    <col min="3592" max="3592" width="14.81640625" style="310" customWidth="1"/>
    <col min="3593" max="3593" width="13.1796875" style="310" customWidth="1"/>
    <col min="3594" max="3594" width="15.26953125" style="310" bestFit="1" customWidth="1"/>
    <col min="3595" max="3595" width="21" style="310" bestFit="1" customWidth="1"/>
    <col min="3596" max="3596" width="15.81640625" style="310" customWidth="1"/>
    <col min="3597" max="3597" width="21" style="310" bestFit="1" customWidth="1"/>
    <col min="3598" max="3598" width="15" style="310" customWidth="1"/>
    <col min="3599" max="3599" width="14.81640625" style="310" customWidth="1"/>
    <col min="3600" max="3600" width="14.54296875" style="310" customWidth="1"/>
    <col min="3601" max="3602" width="13.81640625" style="310" customWidth="1"/>
    <col min="3603" max="3603" width="9.26953125" style="310" bestFit="1" customWidth="1"/>
    <col min="3604" max="3605" width="9.54296875" style="310" bestFit="1" customWidth="1"/>
    <col min="3606" max="3840" width="9.1796875" style="310"/>
    <col min="3841" max="3841" width="1.7265625" style="310" customWidth="1"/>
    <col min="3842" max="3842" width="61.1796875" style="310" customWidth="1"/>
    <col min="3843" max="3847" width="20.26953125" style="310" customWidth="1"/>
    <col min="3848" max="3848" width="14.81640625" style="310" customWidth="1"/>
    <col min="3849" max="3849" width="13.1796875" style="310" customWidth="1"/>
    <col min="3850" max="3850" width="15.26953125" style="310" bestFit="1" customWidth="1"/>
    <col min="3851" max="3851" width="21" style="310" bestFit="1" customWidth="1"/>
    <col min="3852" max="3852" width="15.81640625" style="310" customWidth="1"/>
    <col min="3853" max="3853" width="21" style="310" bestFit="1" customWidth="1"/>
    <col min="3854" max="3854" width="15" style="310" customWidth="1"/>
    <col min="3855" max="3855" width="14.81640625" style="310" customWidth="1"/>
    <col min="3856" max="3856" width="14.54296875" style="310" customWidth="1"/>
    <col min="3857" max="3858" width="13.81640625" style="310" customWidth="1"/>
    <col min="3859" max="3859" width="9.26953125" style="310" bestFit="1" customWidth="1"/>
    <col min="3860" max="3861" width="9.54296875" style="310" bestFit="1" customWidth="1"/>
    <col min="3862" max="4096" width="9.1796875" style="310"/>
    <col min="4097" max="4097" width="1.7265625" style="310" customWidth="1"/>
    <col min="4098" max="4098" width="61.1796875" style="310" customWidth="1"/>
    <col min="4099" max="4103" width="20.26953125" style="310" customWidth="1"/>
    <col min="4104" max="4104" width="14.81640625" style="310" customWidth="1"/>
    <col min="4105" max="4105" width="13.1796875" style="310" customWidth="1"/>
    <col min="4106" max="4106" width="15.26953125" style="310" bestFit="1" customWidth="1"/>
    <col min="4107" max="4107" width="21" style="310" bestFit="1" customWidth="1"/>
    <col min="4108" max="4108" width="15.81640625" style="310" customWidth="1"/>
    <col min="4109" max="4109" width="21" style="310" bestFit="1" customWidth="1"/>
    <col min="4110" max="4110" width="15" style="310" customWidth="1"/>
    <col min="4111" max="4111" width="14.81640625" style="310" customWidth="1"/>
    <col min="4112" max="4112" width="14.54296875" style="310" customWidth="1"/>
    <col min="4113" max="4114" width="13.81640625" style="310" customWidth="1"/>
    <col min="4115" max="4115" width="9.26953125" style="310" bestFit="1" customWidth="1"/>
    <col min="4116" max="4117" width="9.54296875" style="310" bestFit="1" customWidth="1"/>
    <col min="4118" max="4352" width="9.1796875" style="310"/>
    <col min="4353" max="4353" width="1.7265625" style="310" customWidth="1"/>
    <col min="4354" max="4354" width="61.1796875" style="310" customWidth="1"/>
    <col min="4355" max="4359" width="20.26953125" style="310" customWidth="1"/>
    <col min="4360" max="4360" width="14.81640625" style="310" customWidth="1"/>
    <col min="4361" max="4361" width="13.1796875" style="310" customWidth="1"/>
    <col min="4362" max="4362" width="15.26953125" style="310" bestFit="1" customWidth="1"/>
    <col min="4363" max="4363" width="21" style="310" bestFit="1" customWidth="1"/>
    <col min="4364" max="4364" width="15.81640625" style="310" customWidth="1"/>
    <col min="4365" max="4365" width="21" style="310" bestFit="1" customWidth="1"/>
    <col min="4366" max="4366" width="15" style="310" customWidth="1"/>
    <col min="4367" max="4367" width="14.81640625" style="310" customWidth="1"/>
    <col min="4368" max="4368" width="14.54296875" style="310" customWidth="1"/>
    <col min="4369" max="4370" width="13.81640625" style="310" customWidth="1"/>
    <col min="4371" max="4371" width="9.26953125" style="310" bestFit="1" customWidth="1"/>
    <col min="4372" max="4373" width="9.54296875" style="310" bestFit="1" customWidth="1"/>
    <col min="4374" max="4608" width="9.1796875" style="310"/>
    <col min="4609" max="4609" width="1.7265625" style="310" customWidth="1"/>
    <col min="4610" max="4610" width="61.1796875" style="310" customWidth="1"/>
    <col min="4611" max="4615" width="20.26953125" style="310" customWidth="1"/>
    <col min="4616" max="4616" width="14.81640625" style="310" customWidth="1"/>
    <col min="4617" max="4617" width="13.1796875" style="310" customWidth="1"/>
    <col min="4618" max="4618" width="15.26953125" style="310" bestFit="1" customWidth="1"/>
    <col min="4619" max="4619" width="21" style="310" bestFit="1" customWidth="1"/>
    <col min="4620" max="4620" width="15.81640625" style="310" customWidth="1"/>
    <col min="4621" max="4621" width="21" style="310" bestFit="1" customWidth="1"/>
    <col min="4622" max="4622" width="15" style="310" customWidth="1"/>
    <col min="4623" max="4623" width="14.81640625" style="310" customWidth="1"/>
    <col min="4624" max="4624" width="14.54296875" style="310" customWidth="1"/>
    <col min="4625" max="4626" width="13.81640625" style="310" customWidth="1"/>
    <col min="4627" max="4627" width="9.26953125" style="310" bestFit="1" customWidth="1"/>
    <col min="4628" max="4629" width="9.54296875" style="310" bestFit="1" customWidth="1"/>
    <col min="4630" max="4864" width="9.1796875" style="310"/>
    <col min="4865" max="4865" width="1.7265625" style="310" customWidth="1"/>
    <col min="4866" max="4866" width="61.1796875" style="310" customWidth="1"/>
    <col min="4867" max="4871" width="20.26953125" style="310" customWidth="1"/>
    <col min="4872" max="4872" width="14.81640625" style="310" customWidth="1"/>
    <col min="4873" max="4873" width="13.1796875" style="310" customWidth="1"/>
    <col min="4874" max="4874" width="15.26953125" style="310" bestFit="1" customWidth="1"/>
    <col min="4875" max="4875" width="21" style="310" bestFit="1" customWidth="1"/>
    <col min="4876" max="4876" width="15.81640625" style="310" customWidth="1"/>
    <col min="4877" max="4877" width="21" style="310" bestFit="1" customWidth="1"/>
    <col min="4878" max="4878" width="15" style="310" customWidth="1"/>
    <col min="4879" max="4879" width="14.81640625" style="310" customWidth="1"/>
    <col min="4880" max="4880" width="14.54296875" style="310" customWidth="1"/>
    <col min="4881" max="4882" width="13.81640625" style="310" customWidth="1"/>
    <col min="4883" max="4883" width="9.26953125" style="310" bestFit="1" customWidth="1"/>
    <col min="4884" max="4885" width="9.54296875" style="310" bestFit="1" customWidth="1"/>
    <col min="4886" max="5120" width="9.1796875" style="310"/>
    <col min="5121" max="5121" width="1.7265625" style="310" customWidth="1"/>
    <col min="5122" max="5122" width="61.1796875" style="310" customWidth="1"/>
    <col min="5123" max="5127" width="20.26953125" style="310" customWidth="1"/>
    <col min="5128" max="5128" width="14.81640625" style="310" customWidth="1"/>
    <col min="5129" max="5129" width="13.1796875" style="310" customWidth="1"/>
    <col min="5130" max="5130" width="15.26953125" style="310" bestFit="1" customWidth="1"/>
    <col min="5131" max="5131" width="21" style="310" bestFit="1" customWidth="1"/>
    <col min="5132" max="5132" width="15.81640625" style="310" customWidth="1"/>
    <col min="5133" max="5133" width="21" style="310" bestFit="1" customWidth="1"/>
    <col min="5134" max="5134" width="15" style="310" customWidth="1"/>
    <col min="5135" max="5135" width="14.81640625" style="310" customWidth="1"/>
    <col min="5136" max="5136" width="14.54296875" style="310" customWidth="1"/>
    <col min="5137" max="5138" width="13.81640625" style="310" customWidth="1"/>
    <col min="5139" max="5139" width="9.26953125" style="310" bestFit="1" customWidth="1"/>
    <col min="5140" max="5141" width="9.54296875" style="310" bestFit="1" customWidth="1"/>
    <col min="5142" max="5376" width="9.1796875" style="310"/>
    <col min="5377" max="5377" width="1.7265625" style="310" customWidth="1"/>
    <col min="5378" max="5378" width="61.1796875" style="310" customWidth="1"/>
    <col min="5379" max="5383" width="20.26953125" style="310" customWidth="1"/>
    <col min="5384" max="5384" width="14.81640625" style="310" customWidth="1"/>
    <col min="5385" max="5385" width="13.1796875" style="310" customWidth="1"/>
    <col min="5386" max="5386" width="15.26953125" style="310" bestFit="1" customWidth="1"/>
    <col min="5387" max="5387" width="21" style="310" bestFit="1" customWidth="1"/>
    <col min="5388" max="5388" width="15.81640625" style="310" customWidth="1"/>
    <col min="5389" max="5389" width="21" style="310" bestFit="1" customWidth="1"/>
    <col min="5390" max="5390" width="15" style="310" customWidth="1"/>
    <col min="5391" max="5391" width="14.81640625" style="310" customWidth="1"/>
    <col min="5392" max="5392" width="14.54296875" style="310" customWidth="1"/>
    <col min="5393" max="5394" width="13.81640625" style="310" customWidth="1"/>
    <col min="5395" max="5395" width="9.26953125" style="310" bestFit="1" customWidth="1"/>
    <col min="5396" max="5397" width="9.54296875" style="310" bestFit="1" customWidth="1"/>
    <col min="5398" max="5632" width="9.1796875" style="310"/>
    <col min="5633" max="5633" width="1.7265625" style="310" customWidth="1"/>
    <col min="5634" max="5634" width="61.1796875" style="310" customWidth="1"/>
    <col min="5635" max="5639" width="20.26953125" style="310" customWidth="1"/>
    <col min="5640" max="5640" width="14.81640625" style="310" customWidth="1"/>
    <col min="5641" max="5641" width="13.1796875" style="310" customWidth="1"/>
    <col min="5642" max="5642" width="15.26953125" style="310" bestFit="1" customWidth="1"/>
    <col min="5643" max="5643" width="21" style="310" bestFit="1" customWidth="1"/>
    <col min="5644" max="5644" width="15.81640625" style="310" customWidth="1"/>
    <col min="5645" max="5645" width="21" style="310" bestFit="1" customWidth="1"/>
    <col min="5646" max="5646" width="15" style="310" customWidth="1"/>
    <col min="5647" max="5647" width="14.81640625" style="310" customWidth="1"/>
    <col min="5648" max="5648" width="14.54296875" style="310" customWidth="1"/>
    <col min="5649" max="5650" width="13.81640625" style="310" customWidth="1"/>
    <col min="5651" max="5651" width="9.26953125" style="310" bestFit="1" customWidth="1"/>
    <col min="5652" max="5653" width="9.54296875" style="310" bestFit="1" customWidth="1"/>
    <col min="5654" max="5888" width="9.1796875" style="310"/>
    <col min="5889" max="5889" width="1.7265625" style="310" customWidth="1"/>
    <col min="5890" max="5890" width="61.1796875" style="310" customWidth="1"/>
    <col min="5891" max="5895" width="20.26953125" style="310" customWidth="1"/>
    <col min="5896" max="5896" width="14.81640625" style="310" customWidth="1"/>
    <col min="5897" max="5897" width="13.1796875" style="310" customWidth="1"/>
    <col min="5898" max="5898" width="15.26953125" style="310" bestFit="1" customWidth="1"/>
    <col min="5899" max="5899" width="21" style="310" bestFit="1" customWidth="1"/>
    <col min="5900" max="5900" width="15.81640625" style="310" customWidth="1"/>
    <col min="5901" max="5901" width="21" style="310" bestFit="1" customWidth="1"/>
    <col min="5902" max="5902" width="15" style="310" customWidth="1"/>
    <col min="5903" max="5903" width="14.81640625" style="310" customWidth="1"/>
    <col min="5904" max="5904" width="14.54296875" style="310" customWidth="1"/>
    <col min="5905" max="5906" width="13.81640625" style="310" customWidth="1"/>
    <col min="5907" max="5907" width="9.26953125" style="310" bestFit="1" customWidth="1"/>
    <col min="5908" max="5909" width="9.54296875" style="310" bestFit="1" customWidth="1"/>
    <col min="5910" max="6144" width="9.1796875" style="310"/>
    <col min="6145" max="6145" width="1.7265625" style="310" customWidth="1"/>
    <col min="6146" max="6146" width="61.1796875" style="310" customWidth="1"/>
    <col min="6147" max="6151" width="20.26953125" style="310" customWidth="1"/>
    <col min="6152" max="6152" width="14.81640625" style="310" customWidth="1"/>
    <col min="6153" max="6153" width="13.1796875" style="310" customWidth="1"/>
    <col min="6154" max="6154" width="15.26953125" style="310" bestFit="1" customWidth="1"/>
    <col min="6155" max="6155" width="21" style="310" bestFit="1" customWidth="1"/>
    <col min="6156" max="6156" width="15.81640625" style="310" customWidth="1"/>
    <col min="6157" max="6157" width="21" style="310" bestFit="1" customWidth="1"/>
    <col min="6158" max="6158" width="15" style="310" customWidth="1"/>
    <col min="6159" max="6159" width="14.81640625" style="310" customWidth="1"/>
    <col min="6160" max="6160" width="14.54296875" style="310" customWidth="1"/>
    <col min="6161" max="6162" width="13.81640625" style="310" customWidth="1"/>
    <col min="6163" max="6163" width="9.26953125" style="310" bestFit="1" customWidth="1"/>
    <col min="6164" max="6165" width="9.54296875" style="310" bestFit="1" customWidth="1"/>
    <col min="6166" max="6400" width="9.1796875" style="310"/>
    <col min="6401" max="6401" width="1.7265625" style="310" customWidth="1"/>
    <col min="6402" max="6402" width="61.1796875" style="310" customWidth="1"/>
    <col min="6403" max="6407" width="20.26953125" style="310" customWidth="1"/>
    <col min="6408" max="6408" width="14.81640625" style="310" customWidth="1"/>
    <col min="6409" max="6409" width="13.1796875" style="310" customWidth="1"/>
    <col min="6410" max="6410" width="15.26953125" style="310" bestFit="1" customWidth="1"/>
    <col min="6411" max="6411" width="21" style="310" bestFit="1" customWidth="1"/>
    <col min="6412" max="6412" width="15.81640625" style="310" customWidth="1"/>
    <col min="6413" max="6413" width="21" style="310" bestFit="1" customWidth="1"/>
    <col min="6414" max="6414" width="15" style="310" customWidth="1"/>
    <col min="6415" max="6415" width="14.81640625" style="310" customWidth="1"/>
    <col min="6416" max="6416" width="14.54296875" style="310" customWidth="1"/>
    <col min="6417" max="6418" width="13.81640625" style="310" customWidth="1"/>
    <col min="6419" max="6419" width="9.26953125" style="310" bestFit="1" customWidth="1"/>
    <col min="6420" max="6421" width="9.54296875" style="310" bestFit="1" customWidth="1"/>
    <col min="6422" max="6656" width="9.1796875" style="310"/>
    <col min="6657" max="6657" width="1.7265625" style="310" customWidth="1"/>
    <col min="6658" max="6658" width="61.1796875" style="310" customWidth="1"/>
    <col min="6659" max="6663" width="20.26953125" style="310" customWidth="1"/>
    <col min="6664" max="6664" width="14.81640625" style="310" customWidth="1"/>
    <col min="6665" max="6665" width="13.1796875" style="310" customWidth="1"/>
    <col min="6666" max="6666" width="15.26953125" style="310" bestFit="1" customWidth="1"/>
    <col min="6667" max="6667" width="21" style="310" bestFit="1" customWidth="1"/>
    <col min="6668" max="6668" width="15.81640625" style="310" customWidth="1"/>
    <col min="6669" max="6669" width="21" style="310" bestFit="1" customWidth="1"/>
    <col min="6670" max="6670" width="15" style="310" customWidth="1"/>
    <col min="6671" max="6671" width="14.81640625" style="310" customWidth="1"/>
    <col min="6672" max="6672" width="14.54296875" style="310" customWidth="1"/>
    <col min="6673" max="6674" width="13.81640625" style="310" customWidth="1"/>
    <col min="6675" max="6675" width="9.26953125" style="310" bestFit="1" customWidth="1"/>
    <col min="6676" max="6677" width="9.54296875" style="310" bestFit="1" customWidth="1"/>
    <col min="6678" max="6912" width="9.1796875" style="310"/>
    <col min="6913" max="6913" width="1.7265625" style="310" customWidth="1"/>
    <col min="6914" max="6914" width="61.1796875" style="310" customWidth="1"/>
    <col min="6915" max="6919" width="20.26953125" style="310" customWidth="1"/>
    <col min="6920" max="6920" width="14.81640625" style="310" customWidth="1"/>
    <col min="6921" max="6921" width="13.1796875" style="310" customWidth="1"/>
    <col min="6922" max="6922" width="15.26953125" style="310" bestFit="1" customWidth="1"/>
    <col min="6923" max="6923" width="21" style="310" bestFit="1" customWidth="1"/>
    <col min="6924" max="6924" width="15.81640625" style="310" customWidth="1"/>
    <col min="6925" max="6925" width="21" style="310" bestFit="1" customWidth="1"/>
    <col min="6926" max="6926" width="15" style="310" customWidth="1"/>
    <col min="6927" max="6927" width="14.81640625" style="310" customWidth="1"/>
    <col min="6928" max="6928" width="14.54296875" style="310" customWidth="1"/>
    <col min="6929" max="6930" width="13.81640625" style="310" customWidth="1"/>
    <col min="6931" max="6931" width="9.26953125" style="310" bestFit="1" customWidth="1"/>
    <col min="6932" max="6933" width="9.54296875" style="310" bestFit="1" customWidth="1"/>
    <col min="6934" max="7168" width="9.1796875" style="310"/>
    <col min="7169" max="7169" width="1.7265625" style="310" customWidth="1"/>
    <col min="7170" max="7170" width="61.1796875" style="310" customWidth="1"/>
    <col min="7171" max="7175" width="20.26953125" style="310" customWidth="1"/>
    <col min="7176" max="7176" width="14.81640625" style="310" customWidth="1"/>
    <col min="7177" max="7177" width="13.1796875" style="310" customWidth="1"/>
    <col min="7178" max="7178" width="15.26953125" style="310" bestFit="1" customWidth="1"/>
    <col min="7179" max="7179" width="21" style="310" bestFit="1" customWidth="1"/>
    <col min="7180" max="7180" width="15.81640625" style="310" customWidth="1"/>
    <col min="7181" max="7181" width="21" style="310" bestFit="1" customWidth="1"/>
    <col min="7182" max="7182" width="15" style="310" customWidth="1"/>
    <col min="7183" max="7183" width="14.81640625" style="310" customWidth="1"/>
    <col min="7184" max="7184" width="14.54296875" style="310" customWidth="1"/>
    <col min="7185" max="7186" width="13.81640625" style="310" customWidth="1"/>
    <col min="7187" max="7187" width="9.26953125" style="310" bestFit="1" customWidth="1"/>
    <col min="7188" max="7189" width="9.54296875" style="310" bestFit="1" customWidth="1"/>
    <col min="7190" max="7424" width="9.1796875" style="310"/>
    <col min="7425" max="7425" width="1.7265625" style="310" customWidth="1"/>
    <col min="7426" max="7426" width="61.1796875" style="310" customWidth="1"/>
    <col min="7427" max="7431" width="20.26953125" style="310" customWidth="1"/>
    <col min="7432" max="7432" width="14.81640625" style="310" customWidth="1"/>
    <col min="7433" max="7433" width="13.1796875" style="310" customWidth="1"/>
    <col min="7434" max="7434" width="15.26953125" style="310" bestFit="1" customWidth="1"/>
    <col min="7435" max="7435" width="21" style="310" bestFit="1" customWidth="1"/>
    <col min="7436" max="7436" width="15.81640625" style="310" customWidth="1"/>
    <col min="7437" max="7437" width="21" style="310" bestFit="1" customWidth="1"/>
    <col min="7438" max="7438" width="15" style="310" customWidth="1"/>
    <col min="7439" max="7439" width="14.81640625" style="310" customWidth="1"/>
    <col min="7440" max="7440" width="14.54296875" style="310" customWidth="1"/>
    <col min="7441" max="7442" width="13.81640625" style="310" customWidth="1"/>
    <col min="7443" max="7443" width="9.26953125" style="310" bestFit="1" customWidth="1"/>
    <col min="7444" max="7445" width="9.54296875" style="310" bestFit="1" customWidth="1"/>
    <col min="7446" max="7680" width="9.1796875" style="310"/>
    <col min="7681" max="7681" width="1.7265625" style="310" customWidth="1"/>
    <col min="7682" max="7682" width="61.1796875" style="310" customWidth="1"/>
    <col min="7683" max="7687" width="20.26953125" style="310" customWidth="1"/>
    <col min="7688" max="7688" width="14.81640625" style="310" customWidth="1"/>
    <col min="7689" max="7689" width="13.1796875" style="310" customWidth="1"/>
    <col min="7690" max="7690" width="15.26953125" style="310" bestFit="1" customWidth="1"/>
    <col min="7691" max="7691" width="21" style="310" bestFit="1" customWidth="1"/>
    <col min="7692" max="7692" width="15.81640625" style="310" customWidth="1"/>
    <col min="7693" max="7693" width="21" style="310" bestFit="1" customWidth="1"/>
    <col min="7694" max="7694" width="15" style="310" customWidth="1"/>
    <col min="7695" max="7695" width="14.81640625" style="310" customWidth="1"/>
    <col min="7696" max="7696" width="14.54296875" style="310" customWidth="1"/>
    <col min="7697" max="7698" width="13.81640625" style="310" customWidth="1"/>
    <col min="7699" max="7699" width="9.26953125" style="310" bestFit="1" customWidth="1"/>
    <col min="7700" max="7701" width="9.54296875" style="310" bestFit="1" customWidth="1"/>
    <col min="7702" max="7936" width="9.1796875" style="310"/>
    <col min="7937" max="7937" width="1.7265625" style="310" customWidth="1"/>
    <col min="7938" max="7938" width="61.1796875" style="310" customWidth="1"/>
    <col min="7939" max="7943" width="20.26953125" style="310" customWidth="1"/>
    <col min="7944" max="7944" width="14.81640625" style="310" customWidth="1"/>
    <col min="7945" max="7945" width="13.1796875" style="310" customWidth="1"/>
    <col min="7946" max="7946" width="15.26953125" style="310" bestFit="1" customWidth="1"/>
    <col min="7947" max="7947" width="21" style="310" bestFit="1" customWidth="1"/>
    <col min="7948" max="7948" width="15.81640625" style="310" customWidth="1"/>
    <col min="7949" max="7949" width="21" style="310" bestFit="1" customWidth="1"/>
    <col min="7950" max="7950" width="15" style="310" customWidth="1"/>
    <col min="7951" max="7951" width="14.81640625" style="310" customWidth="1"/>
    <col min="7952" max="7952" width="14.54296875" style="310" customWidth="1"/>
    <col min="7953" max="7954" width="13.81640625" style="310" customWidth="1"/>
    <col min="7955" max="7955" width="9.26953125" style="310" bestFit="1" customWidth="1"/>
    <col min="7956" max="7957" width="9.54296875" style="310" bestFit="1" customWidth="1"/>
    <col min="7958" max="8192" width="9.1796875" style="310"/>
    <col min="8193" max="8193" width="1.7265625" style="310" customWidth="1"/>
    <col min="8194" max="8194" width="61.1796875" style="310" customWidth="1"/>
    <col min="8195" max="8199" width="20.26953125" style="310" customWidth="1"/>
    <col min="8200" max="8200" width="14.81640625" style="310" customWidth="1"/>
    <col min="8201" max="8201" width="13.1796875" style="310" customWidth="1"/>
    <col min="8202" max="8202" width="15.26953125" style="310" bestFit="1" customWidth="1"/>
    <col min="8203" max="8203" width="21" style="310" bestFit="1" customWidth="1"/>
    <col min="8204" max="8204" width="15.81640625" style="310" customWidth="1"/>
    <col min="8205" max="8205" width="21" style="310" bestFit="1" customWidth="1"/>
    <col min="8206" max="8206" width="15" style="310" customWidth="1"/>
    <col min="8207" max="8207" width="14.81640625" style="310" customWidth="1"/>
    <col min="8208" max="8208" width="14.54296875" style="310" customWidth="1"/>
    <col min="8209" max="8210" width="13.81640625" style="310" customWidth="1"/>
    <col min="8211" max="8211" width="9.26953125" style="310" bestFit="1" customWidth="1"/>
    <col min="8212" max="8213" width="9.54296875" style="310" bestFit="1" customWidth="1"/>
    <col min="8214" max="8448" width="9.1796875" style="310"/>
    <col min="8449" max="8449" width="1.7265625" style="310" customWidth="1"/>
    <col min="8450" max="8450" width="61.1796875" style="310" customWidth="1"/>
    <col min="8451" max="8455" width="20.26953125" style="310" customWidth="1"/>
    <col min="8456" max="8456" width="14.81640625" style="310" customWidth="1"/>
    <col min="8457" max="8457" width="13.1796875" style="310" customWidth="1"/>
    <col min="8458" max="8458" width="15.26953125" style="310" bestFit="1" customWidth="1"/>
    <col min="8459" max="8459" width="21" style="310" bestFit="1" customWidth="1"/>
    <col min="8460" max="8460" width="15.81640625" style="310" customWidth="1"/>
    <col min="8461" max="8461" width="21" style="310" bestFit="1" customWidth="1"/>
    <col min="8462" max="8462" width="15" style="310" customWidth="1"/>
    <col min="8463" max="8463" width="14.81640625" style="310" customWidth="1"/>
    <col min="8464" max="8464" width="14.54296875" style="310" customWidth="1"/>
    <col min="8465" max="8466" width="13.81640625" style="310" customWidth="1"/>
    <col min="8467" max="8467" width="9.26953125" style="310" bestFit="1" customWidth="1"/>
    <col min="8468" max="8469" width="9.54296875" style="310" bestFit="1" customWidth="1"/>
    <col min="8470" max="8704" width="9.1796875" style="310"/>
    <col min="8705" max="8705" width="1.7265625" style="310" customWidth="1"/>
    <col min="8706" max="8706" width="61.1796875" style="310" customWidth="1"/>
    <col min="8707" max="8711" width="20.26953125" style="310" customWidth="1"/>
    <col min="8712" max="8712" width="14.81640625" style="310" customWidth="1"/>
    <col min="8713" max="8713" width="13.1796875" style="310" customWidth="1"/>
    <col min="8714" max="8714" width="15.26953125" style="310" bestFit="1" customWidth="1"/>
    <col min="8715" max="8715" width="21" style="310" bestFit="1" customWidth="1"/>
    <col min="8716" max="8716" width="15.81640625" style="310" customWidth="1"/>
    <col min="8717" max="8717" width="21" style="310" bestFit="1" customWidth="1"/>
    <col min="8718" max="8718" width="15" style="310" customWidth="1"/>
    <col min="8719" max="8719" width="14.81640625" style="310" customWidth="1"/>
    <col min="8720" max="8720" width="14.54296875" style="310" customWidth="1"/>
    <col min="8721" max="8722" width="13.81640625" style="310" customWidth="1"/>
    <col min="8723" max="8723" width="9.26953125" style="310" bestFit="1" customWidth="1"/>
    <col min="8724" max="8725" width="9.54296875" style="310" bestFit="1" customWidth="1"/>
    <col min="8726" max="8960" width="9.1796875" style="310"/>
    <col min="8961" max="8961" width="1.7265625" style="310" customWidth="1"/>
    <col min="8962" max="8962" width="61.1796875" style="310" customWidth="1"/>
    <col min="8963" max="8967" width="20.26953125" style="310" customWidth="1"/>
    <col min="8968" max="8968" width="14.81640625" style="310" customWidth="1"/>
    <col min="8969" max="8969" width="13.1796875" style="310" customWidth="1"/>
    <col min="8970" max="8970" width="15.26953125" style="310" bestFit="1" customWidth="1"/>
    <col min="8971" max="8971" width="21" style="310" bestFit="1" customWidth="1"/>
    <col min="8972" max="8972" width="15.81640625" style="310" customWidth="1"/>
    <col min="8973" max="8973" width="21" style="310" bestFit="1" customWidth="1"/>
    <col min="8974" max="8974" width="15" style="310" customWidth="1"/>
    <col min="8975" max="8975" width="14.81640625" style="310" customWidth="1"/>
    <col min="8976" max="8976" width="14.54296875" style="310" customWidth="1"/>
    <col min="8977" max="8978" width="13.81640625" style="310" customWidth="1"/>
    <col min="8979" max="8979" width="9.26953125" style="310" bestFit="1" customWidth="1"/>
    <col min="8980" max="8981" width="9.54296875" style="310" bestFit="1" customWidth="1"/>
    <col min="8982" max="9216" width="9.1796875" style="310"/>
    <col min="9217" max="9217" width="1.7265625" style="310" customWidth="1"/>
    <col min="9218" max="9218" width="61.1796875" style="310" customWidth="1"/>
    <col min="9219" max="9223" width="20.26953125" style="310" customWidth="1"/>
    <col min="9224" max="9224" width="14.81640625" style="310" customWidth="1"/>
    <col min="9225" max="9225" width="13.1796875" style="310" customWidth="1"/>
    <col min="9226" max="9226" width="15.26953125" style="310" bestFit="1" customWidth="1"/>
    <col min="9227" max="9227" width="21" style="310" bestFit="1" customWidth="1"/>
    <col min="9228" max="9228" width="15.81640625" style="310" customWidth="1"/>
    <col min="9229" max="9229" width="21" style="310" bestFit="1" customWidth="1"/>
    <col min="9230" max="9230" width="15" style="310" customWidth="1"/>
    <col min="9231" max="9231" width="14.81640625" style="310" customWidth="1"/>
    <col min="9232" max="9232" width="14.54296875" style="310" customWidth="1"/>
    <col min="9233" max="9234" width="13.81640625" style="310" customWidth="1"/>
    <col min="9235" max="9235" width="9.26953125" style="310" bestFit="1" customWidth="1"/>
    <col min="9236" max="9237" width="9.54296875" style="310" bestFit="1" customWidth="1"/>
    <col min="9238" max="9472" width="9.1796875" style="310"/>
    <col min="9473" max="9473" width="1.7265625" style="310" customWidth="1"/>
    <col min="9474" max="9474" width="61.1796875" style="310" customWidth="1"/>
    <col min="9475" max="9479" width="20.26953125" style="310" customWidth="1"/>
    <col min="9480" max="9480" width="14.81640625" style="310" customWidth="1"/>
    <col min="9481" max="9481" width="13.1796875" style="310" customWidth="1"/>
    <col min="9482" max="9482" width="15.26953125" style="310" bestFit="1" customWidth="1"/>
    <col min="9483" max="9483" width="21" style="310" bestFit="1" customWidth="1"/>
    <col min="9484" max="9484" width="15.81640625" style="310" customWidth="1"/>
    <col min="9485" max="9485" width="21" style="310" bestFit="1" customWidth="1"/>
    <col min="9486" max="9486" width="15" style="310" customWidth="1"/>
    <col min="9487" max="9487" width="14.81640625" style="310" customWidth="1"/>
    <col min="9488" max="9488" width="14.54296875" style="310" customWidth="1"/>
    <col min="9489" max="9490" width="13.81640625" style="310" customWidth="1"/>
    <col min="9491" max="9491" width="9.26953125" style="310" bestFit="1" customWidth="1"/>
    <col min="9492" max="9493" width="9.54296875" style="310" bestFit="1" customWidth="1"/>
    <col min="9494" max="9728" width="9.1796875" style="310"/>
    <col min="9729" max="9729" width="1.7265625" style="310" customWidth="1"/>
    <col min="9730" max="9730" width="61.1796875" style="310" customWidth="1"/>
    <col min="9731" max="9735" width="20.26953125" style="310" customWidth="1"/>
    <col min="9736" max="9736" width="14.81640625" style="310" customWidth="1"/>
    <col min="9737" max="9737" width="13.1796875" style="310" customWidth="1"/>
    <col min="9738" max="9738" width="15.26953125" style="310" bestFit="1" customWidth="1"/>
    <col min="9739" max="9739" width="21" style="310" bestFit="1" customWidth="1"/>
    <col min="9740" max="9740" width="15.81640625" style="310" customWidth="1"/>
    <col min="9741" max="9741" width="21" style="310" bestFit="1" customWidth="1"/>
    <col min="9742" max="9742" width="15" style="310" customWidth="1"/>
    <col min="9743" max="9743" width="14.81640625" style="310" customWidth="1"/>
    <col min="9744" max="9744" width="14.54296875" style="310" customWidth="1"/>
    <col min="9745" max="9746" width="13.81640625" style="310" customWidth="1"/>
    <col min="9747" max="9747" width="9.26953125" style="310" bestFit="1" customWidth="1"/>
    <col min="9748" max="9749" width="9.54296875" style="310" bestFit="1" customWidth="1"/>
    <col min="9750" max="9984" width="9.1796875" style="310"/>
    <col min="9985" max="9985" width="1.7265625" style="310" customWidth="1"/>
    <col min="9986" max="9986" width="61.1796875" style="310" customWidth="1"/>
    <col min="9987" max="9991" width="20.26953125" style="310" customWidth="1"/>
    <col min="9992" max="9992" width="14.81640625" style="310" customWidth="1"/>
    <col min="9993" max="9993" width="13.1796875" style="310" customWidth="1"/>
    <col min="9994" max="9994" width="15.26953125" style="310" bestFit="1" customWidth="1"/>
    <col min="9995" max="9995" width="21" style="310" bestFit="1" customWidth="1"/>
    <col min="9996" max="9996" width="15.81640625" style="310" customWidth="1"/>
    <col min="9997" max="9997" width="21" style="310" bestFit="1" customWidth="1"/>
    <col min="9998" max="9998" width="15" style="310" customWidth="1"/>
    <col min="9999" max="9999" width="14.81640625" style="310" customWidth="1"/>
    <col min="10000" max="10000" width="14.54296875" style="310" customWidth="1"/>
    <col min="10001" max="10002" width="13.81640625" style="310" customWidth="1"/>
    <col min="10003" max="10003" width="9.26953125" style="310" bestFit="1" customWidth="1"/>
    <col min="10004" max="10005" width="9.54296875" style="310" bestFit="1" customWidth="1"/>
    <col min="10006" max="10240" width="9.1796875" style="310"/>
    <col min="10241" max="10241" width="1.7265625" style="310" customWidth="1"/>
    <col min="10242" max="10242" width="61.1796875" style="310" customWidth="1"/>
    <col min="10243" max="10247" width="20.26953125" style="310" customWidth="1"/>
    <col min="10248" max="10248" width="14.81640625" style="310" customWidth="1"/>
    <col min="10249" max="10249" width="13.1796875" style="310" customWidth="1"/>
    <col min="10250" max="10250" width="15.26953125" style="310" bestFit="1" customWidth="1"/>
    <col min="10251" max="10251" width="21" style="310" bestFit="1" customWidth="1"/>
    <col min="10252" max="10252" width="15.81640625" style="310" customWidth="1"/>
    <col min="10253" max="10253" width="21" style="310" bestFit="1" customWidth="1"/>
    <col min="10254" max="10254" width="15" style="310" customWidth="1"/>
    <col min="10255" max="10255" width="14.81640625" style="310" customWidth="1"/>
    <col min="10256" max="10256" width="14.54296875" style="310" customWidth="1"/>
    <col min="10257" max="10258" width="13.81640625" style="310" customWidth="1"/>
    <col min="10259" max="10259" width="9.26953125" style="310" bestFit="1" customWidth="1"/>
    <col min="10260" max="10261" width="9.54296875" style="310" bestFit="1" customWidth="1"/>
    <col min="10262" max="10496" width="9.1796875" style="310"/>
    <col min="10497" max="10497" width="1.7265625" style="310" customWidth="1"/>
    <col min="10498" max="10498" width="61.1796875" style="310" customWidth="1"/>
    <col min="10499" max="10503" width="20.26953125" style="310" customWidth="1"/>
    <col min="10504" max="10504" width="14.81640625" style="310" customWidth="1"/>
    <col min="10505" max="10505" width="13.1796875" style="310" customWidth="1"/>
    <col min="10506" max="10506" width="15.26953125" style="310" bestFit="1" customWidth="1"/>
    <col min="10507" max="10507" width="21" style="310" bestFit="1" customWidth="1"/>
    <col min="10508" max="10508" width="15.81640625" style="310" customWidth="1"/>
    <col min="10509" max="10509" width="21" style="310" bestFit="1" customWidth="1"/>
    <col min="10510" max="10510" width="15" style="310" customWidth="1"/>
    <col min="10511" max="10511" width="14.81640625" style="310" customWidth="1"/>
    <col min="10512" max="10512" width="14.54296875" style="310" customWidth="1"/>
    <col min="10513" max="10514" width="13.81640625" style="310" customWidth="1"/>
    <col min="10515" max="10515" width="9.26953125" style="310" bestFit="1" customWidth="1"/>
    <col min="10516" max="10517" width="9.54296875" style="310" bestFit="1" customWidth="1"/>
    <col min="10518" max="10752" width="9.1796875" style="310"/>
    <col min="10753" max="10753" width="1.7265625" style="310" customWidth="1"/>
    <col min="10754" max="10754" width="61.1796875" style="310" customWidth="1"/>
    <col min="10755" max="10759" width="20.26953125" style="310" customWidth="1"/>
    <col min="10760" max="10760" width="14.81640625" style="310" customWidth="1"/>
    <col min="10761" max="10761" width="13.1796875" style="310" customWidth="1"/>
    <col min="10762" max="10762" width="15.26953125" style="310" bestFit="1" customWidth="1"/>
    <col min="10763" max="10763" width="21" style="310" bestFit="1" customWidth="1"/>
    <col min="10764" max="10764" width="15.81640625" style="310" customWidth="1"/>
    <col min="10765" max="10765" width="21" style="310" bestFit="1" customWidth="1"/>
    <col min="10766" max="10766" width="15" style="310" customWidth="1"/>
    <col min="10767" max="10767" width="14.81640625" style="310" customWidth="1"/>
    <col min="10768" max="10768" width="14.54296875" style="310" customWidth="1"/>
    <col min="10769" max="10770" width="13.81640625" style="310" customWidth="1"/>
    <col min="10771" max="10771" width="9.26953125" style="310" bestFit="1" customWidth="1"/>
    <col min="10772" max="10773" width="9.54296875" style="310" bestFit="1" customWidth="1"/>
    <col min="10774" max="11008" width="9.1796875" style="310"/>
    <col min="11009" max="11009" width="1.7265625" style="310" customWidth="1"/>
    <col min="11010" max="11010" width="61.1796875" style="310" customWidth="1"/>
    <col min="11011" max="11015" width="20.26953125" style="310" customWidth="1"/>
    <col min="11016" max="11016" width="14.81640625" style="310" customWidth="1"/>
    <col min="11017" max="11017" width="13.1796875" style="310" customWidth="1"/>
    <col min="11018" max="11018" width="15.26953125" style="310" bestFit="1" customWidth="1"/>
    <col min="11019" max="11019" width="21" style="310" bestFit="1" customWidth="1"/>
    <col min="11020" max="11020" width="15.81640625" style="310" customWidth="1"/>
    <col min="11021" max="11021" width="21" style="310" bestFit="1" customWidth="1"/>
    <col min="11022" max="11022" width="15" style="310" customWidth="1"/>
    <col min="11023" max="11023" width="14.81640625" style="310" customWidth="1"/>
    <col min="11024" max="11024" width="14.54296875" style="310" customWidth="1"/>
    <col min="11025" max="11026" width="13.81640625" style="310" customWidth="1"/>
    <col min="11027" max="11027" width="9.26953125" style="310" bestFit="1" customWidth="1"/>
    <col min="11028" max="11029" width="9.54296875" style="310" bestFit="1" customWidth="1"/>
    <col min="11030" max="11264" width="9.1796875" style="310"/>
    <col min="11265" max="11265" width="1.7265625" style="310" customWidth="1"/>
    <col min="11266" max="11266" width="61.1796875" style="310" customWidth="1"/>
    <col min="11267" max="11271" width="20.26953125" style="310" customWidth="1"/>
    <col min="11272" max="11272" width="14.81640625" style="310" customWidth="1"/>
    <col min="11273" max="11273" width="13.1796875" style="310" customWidth="1"/>
    <col min="11274" max="11274" width="15.26953125" style="310" bestFit="1" customWidth="1"/>
    <col min="11275" max="11275" width="21" style="310" bestFit="1" customWidth="1"/>
    <col min="11276" max="11276" width="15.81640625" style="310" customWidth="1"/>
    <col min="11277" max="11277" width="21" style="310" bestFit="1" customWidth="1"/>
    <col min="11278" max="11278" width="15" style="310" customWidth="1"/>
    <col min="11279" max="11279" width="14.81640625" style="310" customWidth="1"/>
    <col min="11280" max="11280" width="14.54296875" style="310" customWidth="1"/>
    <col min="11281" max="11282" width="13.81640625" style="310" customWidth="1"/>
    <col min="11283" max="11283" width="9.26953125" style="310" bestFit="1" customWidth="1"/>
    <col min="11284" max="11285" width="9.54296875" style="310" bestFit="1" customWidth="1"/>
    <col min="11286" max="11520" width="9.1796875" style="310"/>
    <col min="11521" max="11521" width="1.7265625" style="310" customWidth="1"/>
    <col min="11522" max="11522" width="61.1796875" style="310" customWidth="1"/>
    <col min="11523" max="11527" width="20.26953125" style="310" customWidth="1"/>
    <col min="11528" max="11528" width="14.81640625" style="310" customWidth="1"/>
    <col min="11529" max="11529" width="13.1796875" style="310" customWidth="1"/>
    <col min="11530" max="11530" width="15.26953125" style="310" bestFit="1" customWidth="1"/>
    <col min="11531" max="11531" width="21" style="310" bestFit="1" customWidth="1"/>
    <col min="11532" max="11532" width="15.81640625" style="310" customWidth="1"/>
    <col min="11533" max="11533" width="21" style="310" bestFit="1" customWidth="1"/>
    <col min="11534" max="11534" width="15" style="310" customWidth="1"/>
    <col min="11535" max="11535" width="14.81640625" style="310" customWidth="1"/>
    <col min="11536" max="11536" width="14.54296875" style="310" customWidth="1"/>
    <col min="11537" max="11538" width="13.81640625" style="310" customWidth="1"/>
    <col min="11539" max="11539" width="9.26953125" style="310" bestFit="1" customWidth="1"/>
    <col min="11540" max="11541" width="9.54296875" style="310" bestFit="1" customWidth="1"/>
    <col min="11542" max="11776" width="9.1796875" style="310"/>
    <col min="11777" max="11777" width="1.7265625" style="310" customWidth="1"/>
    <col min="11778" max="11778" width="61.1796875" style="310" customWidth="1"/>
    <col min="11779" max="11783" width="20.26953125" style="310" customWidth="1"/>
    <col min="11784" max="11784" width="14.81640625" style="310" customWidth="1"/>
    <col min="11785" max="11785" width="13.1796875" style="310" customWidth="1"/>
    <col min="11786" max="11786" width="15.26953125" style="310" bestFit="1" customWidth="1"/>
    <col min="11787" max="11787" width="21" style="310" bestFit="1" customWidth="1"/>
    <col min="11788" max="11788" width="15.81640625" style="310" customWidth="1"/>
    <col min="11789" max="11789" width="21" style="310" bestFit="1" customWidth="1"/>
    <col min="11790" max="11790" width="15" style="310" customWidth="1"/>
    <col min="11791" max="11791" width="14.81640625" style="310" customWidth="1"/>
    <col min="11792" max="11792" width="14.54296875" style="310" customWidth="1"/>
    <col min="11793" max="11794" width="13.81640625" style="310" customWidth="1"/>
    <col min="11795" max="11795" width="9.26953125" style="310" bestFit="1" customWidth="1"/>
    <col min="11796" max="11797" width="9.54296875" style="310" bestFit="1" customWidth="1"/>
    <col min="11798" max="12032" width="9.1796875" style="310"/>
    <col min="12033" max="12033" width="1.7265625" style="310" customWidth="1"/>
    <col min="12034" max="12034" width="61.1796875" style="310" customWidth="1"/>
    <col min="12035" max="12039" width="20.26953125" style="310" customWidth="1"/>
    <col min="12040" max="12040" width="14.81640625" style="310" customWidth="1"/>
    <col min="12041" max="12041" width="13.1796875" style="310" customWidth="1"/>
    <col min="12042" max="12042" width="15.26953125" style="310" bestFit="1" customWidth="1"/>
    <col min="12043" max="12043" width="21" style="310" bestFit="1" customWidth="1"/>
    <col min="12044" max="12044" width="15.81640625" style="310" customWidth="1"/>
    <col min="12045" max="12045" width="21" style="310" bestFit="1" customWidth="1"/>
    <col min="12046" max="12046" width="15" style="310" customWidth="1"/>
    <col min="12047" max="12047" width="14.81640625" style="310" customWidth="1"/>
    <col min="12048" max="12048" width="14.54296875" style="310" customWidth="1"/>
    <col min="12049" max="12050" width="13.81640625" style="310" customWidth="1"/>
    <col min="12051" max="12051" width="9.26953125" style="310" bestFit="1" customWidth="1"/>
    <col min="12052" max="12053" width="9.54296875" style="310" bestFit="1" customWidth="1"/>
    <col min="12054" max="12288" width="9.1796875" style="310"/>
    <col min="12289" max="12289" width="1.7265625" style="310" customWidth="1"/>
    <col min="12290" max="12290" width="61.1796875" style="310" customWidth="1"/>
    <col min="12291" max="12295" width="20.26953125" style="310" customWidth="1"/>
    <col min="12296" max="12296" width="14.81640625" style="310" customWidth="1"/>
    <col min="12297" max="12297" width="13.1796875" style="310" customWidth="1"/>
    <col min="12298" max="12298" width="15.26953125" style="310" bestFit="1" customWidth="1"/>
    <col min="12299" max="12299" width="21" style="310" bestFit="1" customWidth="1"/>
    <col min="12300" max="12300" width="15.81640625" style="310" customWidth="1"/>
    <col min="12301" max="12301" width="21" style="310" bestFit="1" customWidth="1"/>
    <col min="12302" max="12302" width="15" style="310" customWidth="1"/>
    <col min="12303" max="12303" width="14.81640625" style="310" customWidth="1"/>
    <col min="12304" max="12304" width="14.54296875" style="310" customWidth="1"/>
    <col min="12305" max="12306" width="13.81640625" style="310" customWidth="1"/>
    <col min="12307" max="12307" width="9.26953125" style="310" bestFit="1" customWidth="1"/>
    <col min="12308" max="12309" width="9.54296875" style="310" bestFit="1" customWidth="1"/>
    <col min="12310" max="12544" width="9.1796875" style="310"/>
    <col min="12545" max="12545" width="1.7265625" style="310" customWidth="1"/>
    <col min="12546" max="12546" width="61.1796875" style="310" customWidth="1"/>
    <col min="12547" max="12551" width="20.26953125" style="310" customWidth="1"/>
    <col min="12552" max="12552" width="14.81640625" style="310" customWidth="1"/>
    <col min="12553" max="12553" width="13.1796875" style="310" customWidth="1"/>
    <col min="12554" max="12554" width="15.26953125" style="310" bestFit="1" customWidth="1"/>
    <col min="12555" max="12555" width="21" style="310" bestFit="1" customWidth="1"/>
    <col min="12556" max="12556" width="15.81640625" style="310" customWidth="1"/>
    <col min="12557" max="12557" width="21" style="310" bestFit="1" customWidth="1"/>
    <col min="12558" max="12558" width="15" style="310" customWidth="1"/>
    <col min="12559" max="12559" width="14.81640625" style="310" customWidth="1"/>
    <col min="12560" max="12560" width="14.54296875" style="310" customWidth="1"/>
    <col min="12561" max="12562" width="13.81640625" style="310" customWidth="1"/>
    <col min="12563" max="12563" width="9.26953125" style="310" bestFit="1" customWidth="1"/>
    <col min="12564" max="12565" width="9.54296875" style="310" bestFit="1" customWidth="1"/>
    <col min="12566" max="12800" width="9.1796875" style="310"/>
    <col min="12801" max="12801" width="1.7265625" style="310" customWidth="1"/>
    <col min="12802" max="12802" width="61.1796875" style="310" customWidth="1"/>
    <col min="12803" max="12807" width="20.26953125" style="310" customWidth="1"/>
    <col min="12808" max="12808" width="14.81640625" style="310" customWidth="1"/>
    <col min="12809" max="12809" width="13.1796875" style="310" customWidth="1"/>
    <col min="12810" max="12810" width="15.26953125" style="310" bestFit="1" customWidth="1"/>
    <col min="12811" max="12811" width="21" style="310" bestFit="1" customWidth="1"/>
    <col min="12812" max="12812" width="15.81640625" style="310" customWidth="1"/>
    <col min="12813" max="12813" width="21" style="310" bestFit="1" customWidth="1"/>
    <col min="12814" max="12814" width="15" style="310" customWidth="1"/>
    <col min="12815" max="12815" width="14.81640625" style="310" customWidth="1"/>
    <col min="12816" max="12816" width="14.54296875" style="310" customWidth="1"/>
    <col min="12817" max="12818" width="13.81640625" style="310" customWidth="1"/>
    <col min="12819" max="12819" width="9.26953125" style="310" bestFit="1" customWidth="1"/>
    <col min="12820" max="12821" width="9.54296875" style="310" bestFit="1" customWidth="1"/>
    <col min="12822" max="13056" width="9.1796875" style="310"/>
    <col min="13057" max="13057" width="1.7265625" style="310" customWidth="1"/>
    <col min="13058" max="13058" width="61.1796875" style="310" customWidth="1"/>
    <col min="13059" max="13063" width="20.26953125" style="310" customWidth="1"/>
    <col min="13064" max="13064" width="14.81640625" style="310" customWidth="1"/>
    <col min="13065" max="13065" width="13.1796875" style="310" customWidth="1"/>
    <col min="13066" max="13066" width="15.26953125" style="310" bestFit="1" customWidth="1"/>
    <col min="13067" max="13067" width="21" style="310" bestFit="1" customWidth="1"/>
    <col min="13068" max="13068" width="15.81640625" style="310" customWidth="1"/>
    <col min="13069" max="13069" width="21" style="310" bestFit="1" customWidth="1"/>
    <col min="13070" max="13070" width="15" style="310" customWidth="1"/>
    <col min="13071" max="13071" width="14.81640625" style="310" customWidth="1"/>
    <col min="13072" max="13072" width="14.54296875" style="310" customWidth="1"/>
    <col min="13073" max="13074" width="13.81640625" style="310" customWidth="1"/>
    <col min="13075" max="13075" width="9.26953125" style="310" bestFit="1" customWidth="1"/>
    <col min="13076" max="13077" width="9.54296875" style="310" bestFit="1" customWidth="1"/>
    <col min="13078" max="13312" width="9.1796875" style="310"/>
    <col min="13313" max="13313" width="1.7265625" style="310" customWidth="1"/>
    <col min="13314" max="13314" width="61.1796875" style="310" customWidth="1"/>
    <col min="13315" max="13319" width="20.26953125" style="310" customWidth="1"/>
    <col min="13320" max="13320" width="14.81640625" style="310" customWidth="1"/>
    <col min="13321" max="13321" width="13.1796875" style="310" customWidth="1"/>
    <col min="13322" max="13322" width="15.26953125" style="310" bestFit="1" customWidth="1"/>
    <col min="13323" max="13323" width="21" style="310" bestFit="1" customWidth="1"/>
    <col min="13324" max="13324" width="15.81640625" style="310" customWidth="1"/>
    <col min="13325" max="13325" width="21" style="310" bestFit="1" customWidth="1"/>
    <col min="13326" max="13326" width="15" style="310" customWidth="1"/>
    <col min="13327" max="13327" width="14.81640625" style="310" customWidth="1"/>
    <col min="13328" max="13328" width="14.54296875" style="310" customWidth="1"/>
    <col min="13329" max="13330" width="13.81640625" style="310" customWidth="1"/>
    <col min="13331" max="13331" width="9.26953125" style="310" bestFit="1" customWidth="1"/>
    <col min="13332" max="13333" width="9.54296875" style="310" bestFit="1" customWidth="1"/>
    <col min="13334" max="13568" width="9.1796875" style="310"/>
    <col min="13569" max="13569" width="1.7265625" style="310" customWidth="1"/>
    <col min="13570" max="13570" width="61.1796875" style="310" customWidth="1"/>
    <col min="13571" max="13575" width="20.26953125" style="310" customWidth="1"/>
    <col min="13576" max="13576" width="14.81640625" style="310" customWidth="1"/>
    <col min="13577" max="13577" width="13.1796875" style="310" customWidth="1"/>
    <col min="13578" max="13578" width="15.26953125" style="310" bestFit="1" customWidth="1"/>
    <col min="13579" max="13579" width="21" style="310" bestFit="1" customWidth="1"/>
    <col min="13580" max="13580" width="15.81640625" style="310" customWidth="1"/>
    <col min="13581" max="13581" width="21" style="310" bestFit="1" customWidth="1"/>
    <col min="13582" max="13582" width="15" style="310" customWidth="1"/>
    <col min="13583" max="13583" width="14.81640625" style="310" customWidth="1"/>
    <col min="13584" max="13584" width="14.54296875" style="310" customWidth="1"/>
    <col min="13585" max="13586" width="13.81640625" style="310" customWidth="1"/>
    <col min="13587" max="13587" width="9.26953125" style="310" bestFit="1" customWidth="1"/>
    <col min="13588" max="13589" width="9.54296875" style="310" bestFit="1" customWidth="1"/>
    <col min="13590" max="13824" width="9.1796875" style="310"/>
    <col min="13825" max="13825" width="1.7265625" style="310" customWidth="1"/>
    <col min="13826" max="13826" width="61.1796875" style="310" customWidth="1"/>
    <col min="13827" max="13831" width="20.26953125" style="310" customWidth="1"/>
    <col min="13832" max="13832" width="14.81640625" style="310" customWidth="1"/>
    <col min="13833" max="13833" width="13.1796875" style="310" customWidth="1"/>
    <col min="13834" max="13834" width="15.26953125" style="310" bestFit="1" customWidth="1"/>
    <col min="13835" max="13835" width="21" style="310" bestFit="1" customWidth="1"/>
    <col min="13836" max="13836" width="15.81640625" style="310" customWidth="1"/>
    <col min="13837" max="13837" width="21" style="310" bestFit="1" customWidth="1"/>
    <col min="13838" max="13838" width="15" style="310" customWidth="1"/>
    <col min="13839" max="13839" width="14.81640625" style="310" customWidth="1"/>
    <col min="13840" max="13840" width="14.54296875" style="310" customWidth="1"/>
    <col min="13841" max="13842" width="13.81640625" style="310" customWidth="1"/>
    <col min="13843" max="13843" width="9.26953125" style="310" bestFit="1" customWidth="1"/>
    <col min="13844" max="13845" width="9.54296875" style="310" bestFit="1" customWidth="1"/>
    <col min="13846" max="14080" width="9.1796875" style="310"/>
    <col min="14081" max="14081" width="1.7265625" style="310" customWidth="1"/>
    <col min="14082" max="14082" width="61.1796875" style="310" customWidth="1"/>
    <col min="14083" max="14087" width="20.26953125" style="310" customWidth="1"/>
    <col min="14088" max="14088" width="14.81640625" style="310" customWidth="1"/>
    <col min="14089" max="14089" width="13.1796875" style="310" customWidth="1"/>
    <col min="14090" max="14090" width="15.26953125" style="310" bestFit="1" customWidth="1"/>
    <col min="14091" max="14091" width="21" style="310" bestFit="1" customWidth="1"/>
    <col min="14092" max="14092" width="15.81640625" style="310" customWidth="1"/>
    <col min="14093" max="14093" width="21" style="310" bestFit="1" customWidth="1"/>
    <col min="14094" max="14094" width="15" style="310" customWidth="1"/>
    <col min="14095" max="14095" width="14.81640625" style="310" customWidth="1"/>
    <col min="14096" max="14096" width="14.54296875" style="310" customWidth="1"/>
    <col min="14097" max="14098" width="13.81640625" style="310" customWidth="1"/>
    <col min="14099" max="14099" width="9.26953125" style="310" bestFit="1" customWidth="1"/>
    <col min="14100" max="14101" width="9.54296875" style="310" bestFit="1" customWidth="1"/>
    <col min="14102" max="14336" width="9.1796875" style="310"/>
    <col min="14337" max="14337" width="1.7265625" style="310" customWidth="1"/>
    <col min="14338" max="14338" width="61.1796875" style="310" customWidth="1"/>
    <col min="14339" max="14343" width="20.26953125" style="310" customWidth="1"/>
    <col min="14344" max="14344" width="14.81640625" style="310" customWidth="1"/>
    <col min="14345" max="14345" width="13.1796875" style="310" customWidth="1"/>
    <col min="14346" max="14346" width="15.26953125" style="310" bestFit="1" customWidth="1"/>
    <col min="14347" max="14347" width="21" style="310" bestFit="1" customWidth="1"/>
    <col min="14348" max="14348" width="15.81640625" style="310" customWidth="1"/>
    <col min="14349" max="14349" width="21" style="310" bestFit="1" customWidth="1"/>
    <col min="14350" max="14350" width="15" style="310" customWidth="1"/>
    <col min="14351" max="14351" width="14.81640625" style="310" customWidth="1"/>
    <col min="14352" max="14352" width="14.54296875" style="310" customWidth="1"/>
    <col min="14353" max="14354" width="13.81640625" style="310" customWidth="1"/>
    <col min="14355" max="14355" width="9.26953125" style="310" bestFit="1" customWidth="1"/>
    <col min="14356" max="14357" width="9.54296875" style="310" bestFit="1" customWidth="1"/>
    <col min="14358" max="14592" width="9.1796875" style="310"/>
    <col min="14593" max="14593" width="1.7265625" style="310" customWidth="1"/>
    <col min="14594" max="14594" width="61.1796875" style="310" customWidth="1"/>
    <col min="14595" max="14599" width="20.26953125" style="310" customWidth="1"/>
    <col min="14600" max="14600" width="14.81640625" style="310" customWidth="1"/>
    <col min="14601" max="14601" width="13.1796875" style="310" customWidth="1"/>
    <col min="14602" max="14602" width="15.26953125" style="310" bestFit="1" customWidth="1"/>
    <col min="14603" max="14603" width="21" style="310" bestFit="1" customWidth="1"/>
    <col min="14604" max="14604" width="15.81640625" style="310" customWidth="1"/>
    <col min="14605" max="14605" width="21" style="310" bestFit="1" customWidth="1"/>
    <col min="14606" max="14606" width="15" style="310" customWidth="1"/>
    <col min="14607" max="14607" width="14.81640625" style="310" customWidth="1"/>
    <col min="14608" max="14608" width="14.54296875" style="310" customWidth="1"/>
    <col min="14609" max="14610" width="13.81640625" style="310" customWidth="1"/>
    <col min="14611" max="14611" width="9.26953125" style="310" bestFit="1" customWidth="1"/>
    <col min="14612" max="14613" width="9.54296875" style="310" bestFit="1" customWidth="1"/>
    <col min="14614" max="14848" width="9.1796875" style="310"/>
    <col min="14849" max="14849" width="1.7265625" style="310" customWidth="1"/>
    <col min="14850" max="14850" width="61.1796875" style="310" customWidth="1"/>
    <col min="14851" max="14855" width="20.26953125" style="310" customWidth="1"/>
    <col min="14856" max="14856" width="14.81640625" style="310" customWidth="1"/>
    <col min="14857" max="14857" width="13.1796875" style="310" customWidth="1"/>
    <col min="14858" max="14858" width="15.26953125" style="310" bestFit="1" customWidth="1"/>
    <col min="14859" max="14859" width="21" style="310" bestFit="1" customWidth="1"/>
    <col min="14860" max="14860" width="15.81640625" style="310" customWidth="1"/>
    <col min="14861" max="14861" width="21" style="310" bestFit="1" customWidth="1"/>
    <col min="14862" max="14862" width="15" style="310" customWidth="1"/>
    <col min="14863" max="14863" width="14.81640625" style="310" customWidth="1"/>
    <col min="14864" max="14864" width="14.54296875" style="310" customWidth="1"/>
    <col min="14865" max="14866" width="13.81640625" style="310" customWidth="1"/>
    <col min="14867" max="14867" width="9.26953125" style="310" bestFit="1" customWidth="1"/>
    <col min="14868" max="14869" width="9.54296875" style="310" bestFit="1" customWidth="1"/>
    <col min="14870" max="15104" width="9.1796875" style="310"/>
    <col min="15105" max="15105" width="1.7265625" style="310" customWidth="1"/>
    <col min="15106" max="15106" width="61.1796875" style="310" customWidth="1"/>
    <col min="15107" max="15111" width="20.26953125" style="310" customWidth="1"/>
    <col min="15112" max="15112" width="14.81640625" style="310" customWidth="1"/>
    <col min="15113" max="15113" width="13.1796875" style="310" customWidth="1"/>
    <col min="15114" max="15114" width="15.26953125" style="310" bestFit="1" customWidth="1"/>
    <col min="15115" max="15115" width="21" style="310" bestFit="1" customWidth="1"/>
    <col min="15116" max="15116" width="15.81640625" style="310" customWidth="1"/>
    <col min="15117" max="15117" width="21" style="310" bestFit="1" customWidth="1"/>
    <col min="15118" max="15118" width="15" style="310" customWidth="1"/>
    <col min="15119" max="15119" width="14.81640625" style="310" customWidth="1"/>
    <col min="15120" max="15120" width="14.54296875" style="310" customWidth="1"/>
    <col min="15121" max="15122" width="13.81640625" style="310" customWidth="1"/>
    <col min="15123" max="15123" width="9.26953125" style="310" bestFit="1" customWidth="1"/>
    <col min="15124" max="15125" width="9.54296875" style="310" bestFit="1" customWidth="1"/>
    <col min="15126" max="15360" width="9.1796875" style="310"/>
    <col min="15361" max="15361" width="1.7265625" style="310" customWidth="1"/>
    <col min="15362" max="15362" width="61.1796875" style="310" customWidth="1"/>
    <col min="15363" max="15367" width="20.26953125" style="310" customWidth="1"/>
    <col min="15368" max="15368" width="14.81640625" style="310" customWidth="1"/>
    <col min="15369" max="15369" width="13.1796875" style="310" customWidth="1"/>
    <col min="15370" max="15370" width="15.26953125" style="310" bestFit="1" customWidth="1"/>
    <col min="15371" max="15371" width="21" style="310" bestFit="1" customWidth="1"/>
    <col min="15372" max="15372" width="15.81640625" style="310" customWidth="1"/>
    <col min="15373" max="15373" width="21" style="310" bestFit="1" customWidth="1"/>
    <col min="15374" max="15374" width="15" style="310" customWidth="1"/>
    <col min="15375" max="15375" width="14.81640625" style="310" customWidth="1"/>
    <col min="15376" max="15376" width="14.54296875" style="310" customWidth="1"/>
    <col min="15377" max="15378" width="13.81640625" style="310" customWidth="1"/>
    <col min="15379" max="15379" width="9.26953125" style="310" bestFit="1" customWidth="1"/>
    <col min="15380" max="15381" width="9.54296875" style="310" bestFit="1" customWidth="1"/>
    <col min="15382" max="15616" width="9.1796875" style="310"/>
    <col min="15617" max="15617" width="1.7265625" style="310" customWidth="1"/>
    <col min="15618" max="15618" width="61.1796875" style="310" customWidth="1"/>
    <col min="15619" max="15623" width="20.26953125" style="310" customWidth="1"/>
    <col min="15624" max="15624" width="14.81640625" style="310" customWidth="1"/>
    <col min="15625" max="15625" width="13.1796875" style="310" customWidth="1"/>
    <col min="15626" max="15626" width="15.26953125" style="310" bestFit="1" customWidth="1"/>
    <col min="15627" max="15627" width="21" style="310" bestFit="1" customWidth="1"/>
    <col min="15628" max="15628" width="15.81640625" style="310" customWidth="1"/>
    <col min="15629" max="15629" width="21" style="310" bestFit="1" customWidth="1"/>
    <col min="15630" max="15630" width="15" style="310" customWidth="1"/>
    <col min="15631" max="15631" width="14.81640625" style="310" customWidth="1"/>
    <col min="15632" max="15632" width="14.54296875" style="310" customWidth="1"/>
    <col min="15633" max="15634" width="13.81640625" style="310" customWidth="1"/>
    <col min="15635" max="15635" width="9.26953125" style="310" bestFit="1" customWidth="1"/>
    <col min="15636" max="15637" width="9.54296875" style="310" bestFit="1" customWidth="1"/>
    <col min="15638" max="15872" width="9.1796875" style="310"/>
    <col min="15873" max="15873" width="1.7265625" style="310" customWidth="1"/>
    <col min="15874" max="15874" width="61.1796875" style="310" customWidth="1"/>
    <col min="15875" max="15879" width="20.26953125" style="310" customWidth="1"/>
    <col min="15880" max="15880" width="14.81640625" style="310" customWidth="1"/>
    <col min="15881" max="15881" width="13.1796875" style="310" customWidth="1"/>
    <col min="15882" max="15882" width="15.26953125" style="310" bestFit="1" customWidth="1"/>
    <col min="15883" max="15883" width="21" style="310" bestFit="1" customWidth="1"/>
    <col min="15884" max="15884" width="15.81640625" style="310" customWidth="1"/>
    <col min="15885" max="15885" width="21" style="310" bestFit="1" customWidth="1"/>
    <col min="15886" max="15886" width="15" style="310" customWidth="1"/>
    <col min="15887" max="15887" width="14.81640625" style="310" customWidth="1"/>
    <col min="15888" max="15888" width="14.54296875" style="310" customWidth="1"/>
    <col min="15889" max="15890" width="13.81640625" style="310" customWidth="1"/>
    <col min="15891" max="15891" width="9.26953125" style="310" bestFit="1" customWidth="1"/>
    <col min="15892" max="15893" width="9.54296875" style="310" bestFit="1" customWidth="1"/>
    <col min="15894" max="16128" width="9.1796875" style="310"/>
    <col min="16129" max="16129" width="1.7265625" style="310" customWidth="1"/>
    <col min="16130" max="16130" width="61.1796875" style="310" customWidth="1"/>
    <col min="16131" max="16135" width="20.26953125" style="310" customWidth="1"/>
    <col min="16136" max="16136" width="14.81640625" style="310" customWidth="1"/>
    <col min="16137" max="16137" width="13.1796875" style="310" customWidth="1"/>
    <col min="16138" max="16138" width="15.26953125" style="310" bestFit="1" customWidth="1"/>
    <col min="16139" max="16139" width="21" style="310" bestFit="1" customWidth="1"/>
    <col min="16140" max="16140" width="15.81640625" style="310" customWidth="1"/>
    <col min="16141" max="16141" width="21" style="310" bestFit="1" customWidth="1"/>
    <col min="16142" max="16142" width="15" style="310" customWidth="1"/>
    <col min="16143" max="16143" width="14.81640625" style="310" customWidth="1"/>
    <col min="16144" max="16144" width="14.54296875" style="310" customWidth="1"/>
    <col min="16145" max="16146" width="13.81640625" style="310" customWidth="1"/>
    <col min="16147" max="16147" width="9.26953125" style="310" bestFit="1" customWidth="1"/>
    <col min="16148" max="16149" width="9.54296875" style="310" bestFit="1" customWidth="1"/>
    <col min="16150" max="16384" width="9.1796875" style="310"/>
  </cols>
  <sheetData>
    <row r="1" spans="2:18" x14ac:dyDescent="0.35">
      <c r="N1" s="312"/>
    </row>
    <row r="2" spans="2:18" x14ac:dyDescent="0.35">
      <c r="B2" s="573" t="s">
        <v>436</v>
      </c>
      <c r="C2" s="574"/>
      <c r="D2" s="574"/>
      <c r="E2" s="574"/>
      <c r="F2" s="574"/>
      <c r="G2" s="574"/>
      <c r="H2" s="574"/>
      <c r="I2" s="574"/>
      <c r="J2" s="575"/>
      <c r="K2" s="314"/>
      <c r="L2" s="314"/>
      <c r="M2" s="314"/>
      <c r="N2" s="314"/>
      <c r="O2" s="314"/>
      <c r="P2" s="314"/>
      <c r="Q2" s="315"/>
      <c r="R2" s="316"/>
    </row>
    <row r="3" spans="2:18" ht="15.75" customHeight="1" x14ac:dyDescent="0.35">
      <c r="B3" s="317"/>
      <c r="C3" s="576" t="s">
        <v>21</v>
      </c>
      <c r="D3" s="577"/>
      <c r="E3" s="577"/>
      <c r="F3" s="577"/>
      <c r="G3" s="578"/>
      <c r="H3" s="318"/>
      <c r="I3" s="579" t="s">
        <v>437</v>
      </c>
      <c r="J3" s="580"/>
      <c r="K3" s="583" t="s">
        <v>30</v>
      </c>
      <c r="L3" s="583"/>
      <c r="M3" s="584"/>
      <c r="N3" s="585" t="s">
        <v>31</v>
      </c>
      <c r="O3" s="586"/>
      <c r="P3" s="586"/>
      <c r="Q3" s="586"/>
      <c r="R3" s="587"/>
    </row>
    <row r="4" spans="2:18" ht="104.25" customHeight="1" x14ac:dyDescent="0.35">
      <c r="B4" s="588"/>
      <c r="C4" s="319" t="s">
        <v>99</v>
      </c>
      <c r="D4" s="319" t="s">
        <v>98</v>
      </c>
      <c r="E4" s="320" t="s">
        <v>438</v>
      </c>
      <c r="F4" s="320" t="s">
        <v>439</v>
      </c>
      <c r="G4" s="321" t="s">
        <v>100</v>
      </c>
      <c r="H4" s="322" t="s">
        <v>440</v>
      </c>
      <c r="I4" s="581"/>
      <c r="J4" s="582"/>
      <c r="K4" s="323" t="s">
        <v>95</v>
      </c>
      <c r="L4" s="323" t="s">
        <v>2</v>
      </c>
      <c r="M4" s="323" t="s">
        <v>3</v>
      </c>
      <c r="N4" s="319" t="s">
        <v>4</v>
      </c>
      <c r="O4" s="324" t="s">
        <v>5</v>
      </c>
      <c r="P4" s="319" t="s">
        <v>6</v>
      </c>
      <c r="Q4" s="323" t="s">
        <v>7</v>
      </c>
      <c r="R4" s="319" t="s">
        <v>8</v>
      </c>
    </row>
    <row r="5" spans="2:18" ht="15" customHeight="1" x14ac:dyDescent="0.35">
      <c r="B5" s="589"/>
      <c r="C5" s="325" t="s">
        <v>103</v>
      </c>
      <c r="D5" s="325" t="s">
        <v>103</v>
      </c>
      <c r="E5" s="325" t="s">
        <v>103</v>
      </c>
      <c r="F5" s="325" t="s">
        <v>103</v>
      </c>
      <c r="G5" s="326" t="s">
        <v>104</v>
      </c>
      <c r="H5" s="327"/>
      <c r="I5" s="325" t="s">
        <v>22</v>
      </c>
      <c r="J5" s="325" t="s">
        <v>441</v>
      </c>
      <c r="K5" s="328" t="s">
        <v>22</v>
      </c>
      <c r="L5" s="325" t="s">
        <v>22</v>
      </c>
      <c r="M5" s="325" t="s">
        <v>22</v>
      </c>
      <c r="N5" s="329" t="s">
        <v>22</v>
      </c>
      <c r="O5" s="330" t="s">
        <v>22</v>
      </c>
      <c r="P5" s="330" t="s">
        <v>22</v>
      </c>
      <c r="Q5" s="330" t="s">
        <v>22</v>
      </c>
      <c r="R5" s="331" t="s">
        <v>22</v>
      </c>
    </row>
    <row r="6" spans="2:18" hidden="1" x14ac:dyDescent="0.35">
      <c r="B6" s="332"/>
      <c r="C6" s="332"/>
      <c r="D6" s="333"/>
      <c r="E6" s="333"/>
      <c r="F6" s="333"/>
      <c r="G6" s="334"/>
      <c r="H6" s="335"/>
      <c r="I6" s="336"/>
      <c r="J6" s="337"/>
      <c r="N6" s="312"/>
    </row>
    <row r="7" spans="2:18" x14ac:dyDescent="0.35">
      <c r="B7" s="338" t="s">
        <v>23</v>
      </c>
      <c r="C7" s="335"/>
      <c r="H7" s="337"/>
      <c r="I7" s="339"/>
      <c r="J7" s="337"/>
      <c r="K7" s="340"/>
      <c r="L7" s="336"/>
      <c r="M7" s="336"/>
      <c r="N7" s="341"/>
      <c r="O7" s="341"/>
      <c r="P7" s="336"/>
      <c r="Q7" s="336"/>
      <c r="R7" s="336"/>
    </row>
    <row r="8" spans="2:18" s="350" customFormat="1" x14ac:dyDescent="0.35">
      <c r="B8" s="342" t="s">
        <v>382</v>
      </c>
      <c r="C8" s="343"/>
      <c r="D8" s="344"/>
      <c r="E8" s="344"/>
      <c r="F8" s="344"/>
      <c r="G8" s="344"/>
      <c r="H8" s="345"/>
      <c r="I8" s="346"/>
      <c r="J8" s="345"/>
      <c r="K8" s="347" t="s">
        <v>410</v>
      </c>
      <c r="L8" s="348"/>
      <c r="M8" s="349" t="str">
        <f>K8</f>
        <v>$6.44 or $5.59</v>
      </c>
      <c r="N8" s="348"/>
      <c r="O8" s="348"/>
      <c r="P8" s="348"/>
      <c r="Q8" s="348"/>
      <c r="R8" s="348"/>
    </row>
    <row r="9" spans="2:18" x14ac:dyDescent="0.35">
      <c r="B9" s="351" t="s">
        <v>442</v>
      </c>
      <c r="C9" s="352">
        <v>10769</v>
      </c>
      <c r="D9" s="352">
        <v>7708</v>
      </c>
      <c r="E9" s="352">
        <v>6306</v>
      </c>
      <c r="F9" s="352">
        <v>4314</v>
      </c>
      <c r="G9" s="353">
        <v>3479</v>
      </c>
      <c r="H9" s="336"/>
      <c r="I9" s="354">
        <v>8.0500000000000007</v>
      </c>
      <c r="J9" s="354">
        <f>$I9*10.7639</f>
        <v>86.649394999999998</v>
      </c>
      <c r="K9" s="355"/>
      <c r="L9" s="356"/>
      <c r="M9" s="356"/>
      <c r="N9" s="341">
        <f>I9*0.5</f>
        <v>4.0250000000000004</v>
      </c>
      <c r="O9" s="341">
        <f>I9*0.75</f>
        <v>6.0375000000000005</v>
      </c>
      <c r="P9" s="356">
        <f>I9</f>
        <v>8.0500000000000007</v>
      </c>
      <c r="Q9" s="336"/>
      <c r="R9" s="356">
        <f>I9</f>
        <v>8.0500000000000007</v>
      </c>
    </row>
    <row r="10" spans="2:18" x14ac:dyDescent="0.35">
      <c r="B10" s="357" t="s">
        <v>443</v>
      </c>
      <c r="C10" s="352"/>
      <c r="D10" s="352"/>
      <c r="E10" s="352"/>
      <c r="F10" s="352"/>
      <c r="G10" s="353"/>
      <c r="H10" s="341">
        <f>I9*0.8</f>
        <v>6.4400000000000013</v>
      </c>
      <c r="I10" s="354"/>
      <c r="J10" s="354"/>
      <c r="K10" s="355">
        <f>I42*0.61-K40</f>
        <v>6.4372000000000025</v>
      </c>
      <c r="L10" s="356"/>
      <c r="M10" s="356">
        <f>K10</f>
        <v>6.4372000000000025</v>
      </c>
      <c r="N10" s="341"/>
      <c r="O10" s="341"/>
      <c r="P10" s="356"/>
      <c r="Q10" s="336"/>
      <c r="R10" s="356"/>
    </row>
    <row r="11" spans="2:18" x14ac:dyDescent="0.35">
      <c r="B11" s="357" t="s">
        <v>444</v>
      </c>
      <c r="C11" s="352"/>
      <c r="D11" s="352"/>
      <c r="E11" s="352"/>
      <c r="F11" s="352"/>
      <c r="G11" s="353"/>
      <c r="H11" s="358">
        <f>I9*0.695</f>
        <v>5.5947500000000003</v>
      </c>
      <c r="I11" s="354"/>
      <c r="J11" s="354"/>
      <c r="K11" s="359">
        <f>I43*0.61-K41</f>
        <v>5.5947999999999993</v>
      </c>
      <c r="L11" s="356"/>
      <c r="M11" s="356">
        <f>K11</f>
        <v>5.5947999999999993</v>
      </c>
      <c r="N11" s="341"/>
      <c r="O11" s="341"/>
      <c r="P11" s="356"/>
      <c r="Q11" s="336"/>
      <c r="R11" s="356"/>
    </row>
    <row r="12" spans="2:18" x14ac:dyDescent="0.35">
      <c r="B12" s="351" t="s">
        <v>50</v>
      </c>
      <c r="C12" s="352">
        <v>784</v>
      </c>
      <c r="D12" s="352">
        <v>561</v>
      </c>
      <c r="E12" s="352">
        <v>459</v>
      </c>
      <c r="F12" s="352">
        <v>314</v>
      </c>
      <c r="G12" s="353">
        <v>253</v>
      </c>
      <c r="H12" s="353"/>
      <c r="I12" s="341">
        <v>0.40500000000000003</v>
      </c>
      <c r="J12" s="354">
        <f t="shared" ref="J12:J29" si="0">$I12*10.7639</f>
        <v>4.3593795000000002</v>
      </c>
      <c r="K12" s="340"/>
      <c r="L12" s="336"/>
      <c r="M12" s="336"/>
      <c r="N12" s="341">
        <f t="shared" ref="N12:N29" si="1">I12*0.5</f>
        <v>0.20250000000000001</v>
      </c>
      <c r="O12" s="341">
        <f t="shared" ref="O12:O29" si="2">I12*0.75</f>
        <v>0.30375000000000002</v>
      </c>
      <c r="P12" s="356">
        <f t="shared" ref="P12:P29" si="3">I12</f>
        <v>0.40500000000000003</v>
      </c>
      <c r="Q12" s="336"/>
      <c r="R12" s="356">
        <f t="shared" ref="R12:R29" si="4">I12</f>
        <v>0.40500000000000003</v>
      </c>
    </row>
    <row r="13" spans="2:18" x14ac:dyDescent="0.35">
      <c r="B13" s="351" t="s">
        <v>36</v>
      </c>
      <c r="C13" s="352">
        <v>524</v>
      </c>
      <c r="D13" s="352">
        <v>375</v>
      </c>
      <c r="E13" s="352">
        <v>307</v>
      </c>
      <c r="F13" s="352">
        <v>210</v>
      </c>
      <c r="G13" s="353">
        <v>169</v>
      </c>
      <c r="H13" s="353"/>
      <c r="I13" s="341">
        <v>0.26</v>
      </c>
      <c r="J13" s="354">
        <f t="shared" si="0"/>
        <v>2.7986140000000002</v>
      </c>
      <c r="K13" s="340"/>
      <c r="L13" s="336"/>
      <c r="M13" s="336"/>
      <c r="N13" s="341">
        <f t="shared" si="1"/>
        <v>0.13</v>
      </c>
      <c r="O13" s="341">
        <f t="shared" si="2"/>
        <v>0.19500000000000001</v>
      </c>
      <c r="P13" s="356">
        <f t="shared" si="3"/>
        <v>0.26</v>
      </c>
      <c r="Q13" s="336"/>
      <c r="R13" s="356">
        <f t="shared" si="4"/>
        <v>0.26</v>
      </c>
    </row>
    <row r="14" spans="2:18" x14ac:dyDescent="0.35">
      <c r="B14" s="351" t="s">
        <v>37</v>
      </c>
      <c r="C14" s="352">
        <v>462</v>
      </c>
      <c r="D14" s="353">
        <v>331</v>
      </c>
      <c r="E14" s="352">
        <v>271</v>
      </c>
      <c r="F14" s="352">
        <v>185</v>
      </c>
      <c r="G14" s="353">
        <v>149</v>
      </c>
      <c r="H14" s="353"/>
      <c r="I14" s="354">
        <v>0.23</v>
      </c>
      <c r="J14" s="354">
        <f t="shared" si="0"/>
        <v>2.4756969999999998</v>
      </c>
      <c r="K14" s="340"/>
      <c r="L14" s="336"/>
      <c r="M14" s="336"/>
      <c r="N14" s="341">
        <f t="shared" si="1"/>
        <v>0.115</v>
      </c>
      <c r="O14" s="341">
        <f t="shared" si="2"/>
        <v>0.17250000000000001</v>
      </c>
      <c r="P14" s="356">
        <f t="shared" si="3"/>
        <v>0.23</v>
      </c>
      <c r="Q14" s="336"/>
      <c r="R14" s="356">
        <f t="shared" si="4"/>
        <v>0.23</v>
      </c>
    </row>
    <row r="15" spans="2:18" x14ac:dyDescent="0.35">
      <c r="B15" s="351" t="s">
        <v>38</v>
      </c>
      <c r="C15" s="352">
        <v>1917</v>
      </c>
      <c r="D15" s="353">
        <v>1372</v>
      </c>
      <c r="E15" s="352">
        <v>1123</v>
      </c>
      <c r="F15" s="352">
        <v>768</v>
      </c>
      <c r="G15" s="353">
        <v>619</v>
      </c>
      <c r="H15" s="353"/>
      <c r="I15" s="354">
        <v>0.98</v>
      </c>
      <c r="J15" s="354">
        <f t="shared" si="0"/>
        <v>10.548622</v>
      </c>
      <c r="K15" s="340"/>
      <c r="L15" s="336"/>
      <c r="M15" s="336"/>
      <c r="N15" s="341">
        <f t="shared" si="1"/>
        <v>0.49</v>
      </c>
      <c r="O15" s="341">
        <f t="shared" si="2"/>
        <v>0.73499999999999999</v>
      </c>
      <c r="P15" s="356">
        <f t="shared" si="3"/>
        <v>0.98</v>
      </c>
      <c r="Q15" s="336"/>
      <c r="R15" s="356">
        <f t="shared" si="4"/>
        <v>0.98</v>
      </c>
    </row>
    <row r="16" spans="2:18" x14ac:dyDescent="0.35">
      <c r="B16" s="351" t="s">
        <v>39</v>
      </c>
      <c r="C16" s="352">
        <v>2352</v>
      </c>
      <c r="D16" s="353">
        <v>1683</v>
      </c>
      <c r="E16" s="352">
        <v>1377</v>
      </c>
      <c r="F16" s="352">
        <v>942</v>
      </c>
      <c r="G16" s="353">
        <v>760</v>
      </c>
      <c r="H16" s="353"/>
      <c r="I16" s="354">
        <v>0.11</v>
      </c>
      <c r="J16" s="354">
        <f t="shared" si="0"/>
        <v>1.184029</v>
      </c>
      <c r="K16" s="340"/>
      <c r="L16" s="336"/>
      <c r="M16" s="336"/>
      <c r="N16" s="341">
        <f t="shared" si="1"/>
        <v>5.5E-2</v>
      </c>
      <c r="O16" s="341">
        <f t="shared" si="2"/>
        <v>8.2500000000000004E-2</v>
      </c>
      <c r="P16" s="356">
        <f t="shared" si="3"/>
        <v>0.11</v>
      </c>
      <c r="Q16" s="336"/>
      <c r="R16" s="356">
        <f t="shared" si="4"/>
        <v>0.11</v>
      </c>
    </row>
    <row r="17" spans="2:18" s="364" customFormat="1" x14ac:dyDescent="0.35">
      <c r="B17" s="360" t="s">
        <v>40</v>
      </c>
      <c r="C17" s="353">
        <v>4430</v>
      </c>
      <c r="D17" s="353">
        <v>3171</v>
      </c>
      <c r="E17" s="353">
        <v>2594</v>
      </c>
      <c r="F17" s="353">
        <v>1775</v>
      </c>
      <c r="G17" s="353">
        <v>1431</v>
      </c>
      <c r="H17" s="353"/>
      <c r="I17" s="354">
        <v>0.2</v>
      </c>
      <c r="J17" s="354">
        <f t="shared" si="0"/>
        <v>2.1527799999999999</v>
      </c>
      <c r="K17" s="361"/>
      <c r="L17" s="362"/>
      <c r="M17" s="362"/>
      <c r="N17" s="354">
        <f t="shared" si="1"/>
        <v>0.1</v>
      </c>
      <c r="O17" s="354">
        <f t="shared" si="2"/>
        <v>0.15000000000000002</v>
      </c>
      <c r="P17" s="363">
        <f t="shared" si="3"/>
        <v>0.2</v>
      </c>
      <c r="Q17" s="362"/>
      <c r="R17" s="363">
        <f t="shared" si="4"/>
        <v>0.2</v>
      </c>
    </row>
    <row r="18" spans="2:18" s="364" customFormat="1" x14ac:dyDescent="0.35">
      <c r="B18" s="360" t="s">
        <v>41</v>
      </c>
      <c r="C18" s="353">
        <v>1045</v>
      </c>
      <c r="D18" s="353">
        <v>748</v>
      </c>
      <c r="E18" s="353">
        <v>612</v>
      </c>
      <c r="F18" s="353">
        <v>419</v>
      </c>
      <c r="G18" s="353">
        <v>338</v>
      </c>
      <c r="H18" s="353"/>
      <c r="I18" s="354">
        <v>0.05</v>
      </c>
      <c r="J18" s="354">
        <f t="shared" si="0"/>
        <v>0.53819499999999998</v>
      </c>
      <c r="K18" s="361"/>
      <c r="L18" s="362"/>
      <c r="M18" s="362"/>
      <c r="N18" s="354">
        <f t="shared" si="1"/>
        <v>2.5000000000000001E-2</v>
      </c>
      <c r="O18" s="354">
        <f t="shared" si="2"/>
        <v>3.7500000000000006E-2</v>
      </c>
      <c r="P18" s="363">
        <f t="shared" si="3"/>
        <v>0.05</v>
      </c>
      <c r="Q18" s="362"/>
      <c r="R18" s="363">
        <f t="shared" si="4"/>
        <v>0.05</v>
      </c>
    </row>
    <row r="19" spans="2:18" s="364" customFormat="1" x14ac:dyDescent="0.35">
      <c r="B19" s="360" t="s">
        <v>408</v>
      </c>
      <c r="C19" s="353">
        <v>330</v>
      </c>
      <c r="D19" s="353">
        <v>236</v>
      </c>
      <c r="E19" s="353">
        <v>193</v>
      </c>
      <c r="F19" s="353">
        <v>132</v>
      </c>
      <c r="G19" s="353">
        <v>107</v>
      </c>
      <c r="H19" s="353"/>
      <c r="I19" s="354">
        <v>0.17</v>
      </c>
      <c r="J19" s="354">
        <f t="shared" si="0"/>
        <v>1.829863</v>
      </c>
      <c r="K19" s="361"/>
      <c r="L19" s="362"/>
      <c r="M19" s="362"/>
      <c r="N19" s="354">
        <f t="shared" si="1"/>
        <v>8.5000000000000006E-2</v>
      </c>
      <c r="O19" s="354">
        <f t="shared" si="2"/>
        <v>0.1275</v>
      </c>
      <c r="P19" s="363">
        <f t="shared" si="3"/>
        <v>0.17</v>
      </c>
      <c r="Q19" s="362"/>
      <c r="R19" s="363">
        <f t="shared" si="4"/>
        <v>0.17</v>
      </c>
    </row>
    <row r="20" spans="2:18" s="364" customFormat="1" x14ac:dyDescent="0.35">
      <c r="B20" s="360" t="s">
        <v>409</v>
      </c>
      <c r="C20" s="353">
        <v>166</v>
      </c>
      <c r="D20" s="353">
        <v>119</v>
      </c>
      <c r="E20" s="353">
        <v>97</v>
      </c>
      <c r="F20" s="353">
        <v>66</v>
      </c>
      <c r="G20" s="353">
        <v>54</v>
      </c>
      <c r="H20" s="353"/>
      <c r="I20" s="354">
        <v>0.08</v>
      </c>
      <c r="J20" s="354">
        <f t="shared" si="0"/>
        <v>0.86111199999999999</v>
      </c>
      <c r="K20" s="361"/>
      <c r="L20" s="362"/>
      <c r="M20" s="362"/>
      <c r="N20" s="354">
        <f t="shared" si="1"/>
        <v>0.04</v>
      </c>
      <c r="O20" s="354">
        <f t="shared" si="2"/>
        <v>0.06</v>
      </c>
      <c r="P20" s="363">
        <f t="shared" si="3"/>
        <v>0.08</v>
      </c>
      <c r="Q20" s="362"/>
      <c r="R20" s="363">
        <f t="shared" si="4"/>
        <v>0.08</v>
      </c>
    </row>
    <row r="21" spans="2:18" s="364" customFormat="1" x14ac:dyDescent="0.35">
      <c r="B21" s="360" t="s">
        <v>43</v>
      </c>
      <c r="C21" s="353">
        <v>137</v>
      </c>
      <c r="D21" s="353">
        <v>98</v>
      </c>
      <c r="E21" s="353">
        <v>80</v>
      </c>
      <c r="F21" s="353">
        <v>55</v>
      </c>
      <c r="G21" s="353">
        <v>44</v>
      </c>
      <c r="H21" s="353"/>
      <c r="I21" s="354">
        <v>2.5000000000000001E-2</v>
      </c>
      <c r="J21" s="354">
        <f t="shared" si="0"/>
        <v>0.26909749999999999</v>
      </c>
      <c r="K21" s="361"/>
      <c r="L21" s="362"/>
      <c r="M21" s="362"/>
      <c r="N21" s="354">
        <f t="shared" si="1"/>
        <v>1.2500000000000001E-2</v>
      </c>
      <c r="O21" s="354">
        <f t="shared" si="2"/>
        <v>1.8750000000000003E-2</v>
      </c>
      <c r="P21" s="363">
        <f t="shared" si="3"/>
        <v>2.5000000000000001E-2</v>
      </c>
      <c r="Q21" s="362"/>
      <c r="R21" s="363">
        <f t="shared" si="4"/>
        <v>2.5000000000000001E-2</v>
      </c>
    </row>
    <row r="22" spans="2:18" s="364" customFormat="1" x14ac:dyDescent="0.35">
      <c r="B22" s="360" t="s">
        <v>44</v>
      </c>
      <c r="C22" s="353">
        <v>125</v>
      </c>
      <c r="D22" s="353">
        <v>89</v>
      </c>
      <c r="E22" s="353">
        <v>73</v>
      </c>
      <c r="F22" s="353">
        <v>50</v>
      </c>
      <c r="G22" s="353">
        <v>40</v>
      </c>
      <c r="H22" s="353"/>
      <c r="I22" s="354">
        <v>0.01</v>
      </c>
      <c r="J22" s="354">
        <f t="shared" si="0"/>
        <v>0.107639</v>
      </c>
      <c r="K22" s="361"/>
      <c r="L22" s="362"/>
      <c r="M22" s="362"/>
      <c r="N22" s="365">
        <f>I22*0.5</f>
        <v>5.0000000000000001E-3</v>
      </c>
      <c r="O22" s="354">
        <f t="shared" si="2"/>
        <v>7.4999999999999997E-3</v>
      </c>
      <c r="P22" s="363">
        <f t="shared" si="3"/>
        <v>0.01</v>
      </c>
      <c r="Q22" s="362"/>
      <c r="R22" s="363">
        <f t="shared" si="4"/>
        <v>0.01</v>
      </c>
    </row>
    <row r="23" spans="2:18" x14ac:dyDescent="0.35">
      <c r="B23" s="351" t="s">
        <v>45</v>
      </c>
      <c r="C23" s="352">
        <v>1</v>
      </c>
      <c r="D23" s="353">
        <v>1</v>
      </c>
      <c r="E23" s="352">
        <v>1</v>
      </c>
      <c r="F23" s="352">
        <v>0</v>
      </c>
      <c r="G23" s="353">
        <v>0</v>
      </c>
      <c r="H23" s="353"/>
      <c r="I23" s="354">
        <v>0</v>
      </c>
      <c r="J23" s="354">
        <f t="shared" si="0"/>
        <v>0</v>
      </c>
      <c r="K23" s="340"/>
      <c r="L23" s="336"/>
      <c r="M23" s="336"/>
      <c r="N23" s="341">
        <f t="shared" si="1"/>
        <v>0</v>
      </c>
      <c r="O23" s="341">
        <f t="shared" si="2"/>
        <v>0</v>
      </c>
      <c r="P23" s="356">
        <f t="shared" si="3"/>
        <v>0</v>
      </c>
      <c r="Q23" s="336"/>
      <c r="R23" s="356">
        <f t="shared" si="4"/>
        <v>0</v>
      </c>
    </row>
    <row r="24" spans="2:18" x14ac:dyDescent="0.35">
      <c r="B24" s="351" t="s">
        <v>46</v>
      </c>
      <c r="C24" s="352">
        <v>15</v>
      </c>
      <c r="D24" s="353">
        <v>11</v>
      </c>
      <c r="E24" s="352">
        <v>9</v>
      </c>
      <c r="F24" s="352">
        <v>6</v>
      </c>
      <c r="G24" s="353">
        <v>5</v>
      </c>
      <c r="H24" s="353"/>
      <c r="I24" s="354">
        <v>0</v>
      </c>
      <c r="J24" s="354">
        <f t="shared" si="0"/>
        <v>0</v>
      </c>
      <c r="K24" s="340"/>
      <c r="L24" s="336"/>
      <c r="M24" s="336"/>
      <c r="N24" s="341">
        <f t="shared" si="1"/>
        <v>0</v>
      </c>
      <c r="O24" s="341">
        <f t="shared" si="2"/>
        <v>0</v>
      </c>
      <c r="P24" s="356">
        <f t="shared" si="3"/>
        <v>0</v>
      </c>
      <c r="Q24" s="336"/>
      <c r="R24" s="356">
        <f t="shared" si="4"/>
        <v>0</v>
      </c>
    </row>
    <row r="25" spans="2:18" x14ac:dyDescent="0.35">
      <c r="B25" s="351" t="s">
        <v>47</v>
      </c>
      <c r="C25" s="352">
        <v>648</v>
      </c>
      <c r="D25" s="353">
        <v>464</v>
      </c>
      <c r="E25" s="352">
        <v>379</v>
      </c>
      <c r="F25" s="352">
        <v>260</v>
      </c>
      <c r="G25" s="353">
        <v>209</v>
      </c>
      <c r="H25" s="353"/>
      <c r="I25" s="354">
        <v>0</v>
      </c>
      <c r="J25" s="354">
        <f t="shared" si="0"/>
        <v>0</v>
      </c>
      <c r="K25" s="340"/>
      <c r="L25" s="336"/>
      <c r="M25" s="336"/>
      <c r="N25" s="341">
        <f t="shared" si="1"/>
        <v>0</v>
      </c>
      <c r="O25" s="341">
        <f t="shared" si="2"/>
        <v>0</v>
      </c>
      <c r="P25" s="356">
        <f t="shared" si="3"/>
        <v>0</v>
      </c>
      <c r="Q25" s="336"/>
      <c r="R25" s="356">
        <f t="shared" si="4"/>
        <v>0</v>
      </c>
    </row>
    <row r="26" spans="2:18" x14ac:dyDescent="0.35">
      <c r="B26" s="351" t="s">
        <v>48</v>
      </c>
      <c r="C26" s="352">
        <v>419</v>
      </c>
      <c r="D26" s="353">
        <v>300</v>
      </c>
      <c r="E26" s="352">
        <v>245</v>
      </c>
      <c r="F26" s="352">
        <v>168</v>
      </c>
      <c r="G26" s="353">
        <v>135</v>
      </c>
      <c r="H26" s="353"/>
      <c r="I26" s="354">
        <v>0.21</v>
      </c>
      <c r="J26" s="354">
        <f t="shared" si="0"/>
        <v>2.2604189999999997</v>
      </c>
      <c r="K26" s="340"/>
      <c r="L26" s="336"/>
      <c r="M26" s="336"/>
      <c r="N26" s="341">
        <f t="shared" si="1"/>
        <v>0.105</v>
      </c>
      <c r="O26" s="341">
        <f t="shared" si="2"/>
        <v>0.1575</v>
      </c>
      <c r="P26" s="356">
        <f t="shared" si="3"/>
        <v>0.21</v>
      </c>
      <c r="Q26" s="336"/>
      <c r="R26" s="356">
        <f t="shared" si="4"/>
        <v>0.21</v>
      </c>
    </row>
    <row r="27" spans="2:18" x14ac:dyDescent="0.35">
      <c r="B27" s="351" t="s">
        <v>49</v>
      </c>
      <c r="C27" s="352">
        <v>490</v>
      </c>
      <c r="D27" s="353">
        <v>351</v>
      </c>
      <c r="E27" s="352">
        <v>287</v>
      </c>
      <c r="F27" s="352">
        <v>196</v>
      </c>
      <c r="G27" s="353">
        <v>158</v>
      </c>
      <c r="H27" s="353"/>
      <c r="I27" s="354">
        <v>0.25</v>
      </c>
      <c r="J27" s="354">
        <f t="shared" si="0"/>
        <v>2.6909749999999999</v>
      </c>
      <c r="K27" s="340"/>
      <c r="L27" s="336"/>
      <c r="M27" s="336"/>
      <c r="N27" s="341">
        <f t="shared" si="1"/>
        <v>0.125</v>
      </c>
      <c r="O27" s="341">
        <f t="shared" si="2"/>
        <v>0.1875</v>
      </c>
      <c r="P27" s="356">
        <f t="shared" si="3"/>
        <v>0.25</v>
      </c>
      <c r="Q27" s="336"/>
      <c r="R27" s="356">
        <f t="shared" si="4"/>
        <v>0.25</v>
      </c>
    </row>
    <row r="28" spans="2:18" x14ac:dyDescent="0.35">
      <c r="B28" s="351" t="s">
        <v>52</v>
      </c>
      <c r="C28" s="352">
        <v>40</v>
      </c>
      <c r="D28" s="353">
        <v>29</v>
      </c>
      <c r="E28" s="352">
        <v>23</v>
      </c>
      <c r="F28" s="352">
        <v>16</v>
      </c>
      <c r="G28" s="353">
        <v>13</v>
      </c>
      <c r="H28" s="353"/>
      <c r="I28" s="354">
        <v>0.02</v>
      </c>
      <c r="J28" s="354">
        <f t="shared" si="0"/>
        <v>0.215278</v>
      </c>
      <c r="K28" s="340"/>
      <c r="L28" s="336"/>
      <c r="M28" s="336"/>
      <c r="N28" s="341">
        <f t="shared" si="1"/>
        <v>0.01</v>
      </c>
      <c r="O28" s="341">
        <f t="shared" si="2"/>
        <v>1.4999999999999999E-2</v>
      </c>
      <c r="P28" s="356">
        <f t="shared" si="3"/>
        <v>0.02</v>
      </c>
      <c r="Q28" s="336"/>
      <c r="R28" s="356">
        <f t="shared" si="4"/>
        <v>0.02</v>
      </c>
    </row>
    <row r="29" spans="2:18" x14ac:dyDescent="0.35">
      <c r="B29" s="351" t="s">
        <v>51</v>
      </c>
      <c r="C29" s="352">
        <v>657</v>
      </c>
      <c r="D29" s="353">
        <v>470</v>
      </c>
      <c r="E29" s="352">
        <v>385</v>
      </c>
      <c r="F29" s="352">
        <v>263</v>
      </c>
      <c r="G29" s="353">
        <v>212</v>
      </c>
      <c r="H29" s="353"/>
      <c r="I29" s="354">
        <v>0.125</v>
      </c>
      <c r="J29" s="354">
        <f t="shared" si="0"/>
        <v>1.3454874999999999</v>
      </c>
      <c r="K29" s="340"/>
      <c r="L29" s="336"/>
      <c r="M29" s="336"/>
      <c r="N29" s="341">
        <f t="shared" si="1"/>
        <v>6.25E-2</v>
      </c>
      <c r="O29" s="341">
        <f t="shared" si="2"/>
        <v>9.375E-2</v>
      </c>
      <c r="P29" s="356">
        <f t="shared" si="3"/>
        <v>0.125</v>
      </c>
      <c r="Q29" s="336"/>
      <c r="R29" s="356">
        <f t="shared" si="4"/>
        <v>0.125</v>
      </c>
    </row>
    <row r="30" spans="2:18" x14ac:dyDescent="0.35">
      <c r="B30" s="366" t="s">
        <v>56</v>
      </c>
      <c r="C30" s="367">
        <f>SUM(C9:C29)</f>
        <v>25311</v>
      </c>
      <c r="D30" s="367">
        <f>SUM(D9:D29)</f>
        <v>18117</v>
      </c>
      <c r="E30" s="367">
        <f t="shared" ref="E30:J30" si="5">SUM(E9:E29)</f>
        <v>14821</v>
      </c>
      <c r="F30" s="367">
        <f t="shared" si="5"/>
        <v>10139</v>
      </c>
      <c r="G30" s="367">
        <f t="shared" si="5"/>
        <v>8175</v>
      </c>
      <c r="H30" s="368"/>
      <c r="I30" s="368">
        <f t="shared" si="5"/>
        <v>11.175000000000001</v>
      </c>
      <c r="J30" s="368">
        <f t="shared" si="5"/>
        <v>120.28658249999999</v>
      </c>
      <c r="K30" s="369"/>
      <c r="L30" s="370"/>
      <c r="M30" s="370"/>
      <c r="N30" s="368">
        <f>SUM(N9:N29)</f>
        <v>5.5875000000000004</v>
      </c>
      <c r="O30" s="368">
        <f>SUM(O9:O29)</f>
        <v>8.3812500000000014</v>
      </c>
      <c r="P30" s="368">
        <f>SUM(P9:P29)</f>
        <v>11.175000000000001</v>
      </c>
      <c r="Q30" s="370"/>
      <c r="R30" s="368">
        <f>SUM(R9:R29)</f>
        <v>11.175000000000001</v>
      </c>
    </row>
    <row r="31" spans="2:18" s="364" customFormat="1" ht="9" customHeight="1" x14ac:dyDescent="0.35">
      <c r="B31" s="342"/>
      <c r="C31" s="371"/>
      <c r="D31" s="371"/>
      <c r="E31" s="371"/>
      <c r="F31" s="371"/>
      <c r="G31" s="371"/>
      <c r="H31" s="372"/>
      <c r="I31" s="372"/>
      <c r="J31" s="372"/>
      <c r="K31" s="373"/>
      <c r="L31" s="374"/>
      <c r="M31" s="374"/>
      <c r="N31" s="346"/>
      <c r="O31" s="346"/>
      <c r="P31" s="346"/>
      <c r="Q31" s="374"/>
      <c r="R31" s="346"/>
    </row>
    <row r="32" spans="2:18" s="350" customFormat="1" x14ac:dyDescent="0.35">
      <c r="B32" s="342" t="s">
        <v>445</v>
      </c>
      <c r="C32" s="375"/>
      <c r="D32" s="375"/>
      <c r="E32" s="375"/>
      <c r="F32" s="375"/>
      <c r="G32" s="375"/>
      <c r="H32" s="376"/>
      <c r="I32" s="377"/>
      <c r="J32" s="377"/>
      <c r="K32" s="378"/>
      <c r="L32" s="377"/>
      <c r="M32" s="377"/>
      <c r="N32" s="377"/>
      <c r="O32" s="377"/>
      <c r="P32" s="377"/>
      <c r="Q32" s="377"/>
      <c r="R32" s="377"/>
    </row>
    <row r="33" spans="2:18" x14ac:dyDescent="0.35">
      <c r="B33" s="351" t="s">
        <v>53</v>
      </c>
      <c r="C33" s="353">
        <v>4767</v>
      </c>
      <c r="D33" s="353">
        <v>3412</v>
      </c>
      <c r="E33" s="353">
        <v>2792</v>
      </c>
      <c r="F33" s="353">
        <v>1910</v>
      </c>
      <c r="G33" s="353">
        <v>1540</v>
      </c>
      <c r="H33" s="353"/>
      <c r="I33" s="354">
        <v>2.29</v>
      </c>
      <c r="J33" s="354">
        <f t="shared" ref="J33:J38" si="6">$I33*10.7639</f>
        <v>24.649331</v>
      </c>
      <c r="K33" s="379">
        <v>0</v>
      </c>
      <c r="L33" s="356"/>
      <c r="M33" s="380">
        <v>0</v>
      </c>
      <c r="N33" s="341">
        <f>I33*0.5</f>
        <v>1.145</v>
      </c>
      <c r="O33" s="341">
        <f>I33*0.75</f>
        <v>1.7175</v>
      </c>
      <c r="P33" s="356">
        <f>I33</f>
        <v>2.29</v>
      </c>
      <c r="Q33" s="336"/>
      <c r="R33" s="356">
        <f>I33</f>
        <v>2.29</v>
      </c>
    </row>
    <row r="34" spans="2:18" x14ac:dyDescent="0.35">
      <c r="B34" s="351" t="s">
        <v>54</v>
      </c>
      <c r="C34" s="353">
        <v>4048</v>
      </c>
      <c r="D34" s="353">
        <v>2897</v>
      </c>
      <c r="E34" s="353">
        <v>2371</v>
      </c>
      <c r="F34" s="353">
        <v>1622</v>
      </c>
      <c r="G34" s="353">
        <v>1308</v>
      </c>
      <c r="H34" s="353"/>
      <c r="I34" s="365">
        <v>1.95</v>
      </c>
      <c r="J34" s="354">
        <f t="shared" si="6"/>
        <v>20.989604999999997</v>
      </c>
      <c r="K34" s="355">
        <f>I34</f>
        <v>1.95</v>
      </c>
      <c r="L34" s="356"/>
      <c r="M34" s="356">
        <f>I34</f>
        <v>1.95</v>
      </c>
      <c r="N34" s="341">
        <f>I34*0.5</f>
        <v>0.97499999999999998</v>
      </c>
      <c r="O34" s="341">
        <f>I34*0.75</f>
        <v>1.4624999999999999</v>
      </c>
      <c r="P34" s="356">
        <f>I34</f>
        <v>1.95</v>
      </c>
      <c r="Q34" s="336"/>
      <c r="R34" s="356">
        <f>I34</f>
        <v>1.95</v>
      </c>
    </row>
    <row r="35" spans="2:18" x14ac:dyDescent="0.35">
      <c r="B35" s="381" t="s">
        <v>55</v>
      </c>
      <c r="C35" s="353">
        <v>5415</v>
      </c>
      <c r="D35" s="353">
        <v>3876</v>
      </c>
      <c r="E35" s="353">
        <v>3171</v>
      </c>
      <c r="F35" s="353">
        <v>2169</v>
      </c>
      <c r="G35" s="353">
        <v>1749</v>
      </c>
      <c r="H35" s="353"/>
      <c r="I35" s="365">
        <v>2.605</v>
      </c>
      <c r="J35" s="354">
        <f t="shared" si="6"/>
        <v>28.039959499999998</v>
      </c>
      <c r="K35" s="355">
        <f>I35</f>
        <v>2.605</v>
      </c>
      <c r="L35" s="356"/>
      <c r="M35" s="356">
        <f>I35</f>
        <v>2.605</v>
      </c>
      <c r="N35" s="341">
        <f>I35*0.5</f>
        <v>1.3025</v>
      </c>
      <c r="O35" s="341">
        <f>I35*0.75</f>
        <v>1.9537499999999999</v>
      </c>
      <c r="P35" s="356">
        <f>I35</f>
        <v>2.605</v>
      </c>
      <c r="Q35" s="336"/>
      <c r="R35" s="356">
        <f>I35</f>
        <v>2.605</v>
      </c>
    </row>
    <row r="36" spans="2:18" x14ac:dyDescent="0.35">
      <c r="B36" s="382" t="s">
        <v>446</v>
      </c>
      <c r="C36" s="383"/>
      <c r="D36" s="383"/>
      <c r="E36" s="383"/>
      <c r="F36" s="383"/>
      <c r="G36" s="383"/>
      <c r="H36" s="383"/>
      <c r="I36" s="384"/>
      <c r="J36" s="384"/>
      <c r="K36" s="355"/>
      <c r="L36" s="356"/>
      <c r="M36" s="356"/>
      <c r="N36" s="341"/>
      <c r="O36" s="341"/>
      <c r="P36" s="356"/>
      <c r="Q36" s="336"/>
      <c r="R36" s="356"/>
    </row>
    <row r="37" spans="2:18" x14ac:dyDescent="0.35">
      <c r="B37" s="351" t="s">
        <v>447</v>
      </c>
      <c r="C37" s="385">
        <v>3948</v>
      </c>
      <c r="D37" s="385">
        <v>2826</v>
      </c>
      <c r="E37" s="385">
        <v>2312</v>
      </c>
      <c r="F37" s="385">
        <v>1582</v>
      </c>
      <c r="G37" s="385">
        <v>1275</v>
      </c>
      <c r="H37" s="385"/>
      <c r="I37" s="386">
        <v>0</v>
      </c>
      <c r="J37" s="386">
        <f t="shared" si="6"/>
        <v>0</v>
      </c>
      <c r="K37" s="387">
        <f>I37*0.75</f>
        <v>0</v>
      </c>
      <c r="L37" s="356"/>
      <c r="M37" s="388">
        <f>I37</f>
        <v>0</v>
      </c>
      <c r="N37" s="341">
        <f>I37*0.5</f>
        <v>0</v>
      </c>
      <c r="O37" s="341">
        <f>I37*0.75</f>
        <v>0</v>
      </c>
      <c r="P37" s="356">
        <f>I37</f>
        <v>0</v>
      </c>
      <c r="Q37" s="336"/>
      <c r="R37" s="356">
        <f>I37</f>
        <v>0</v>
      </c>
    </row>
    <row r="38" spans="2:18" s="364" customFormat="1" x14ac:dyDescent="0.35">
      <c r="B38" s="389" t="s">
        <v>448</v>
      </c>
      <c r="C38" s="390">
        <v>10462</v>
      </c>
      <c r="D38" s="390">
        <v>7488</v>
      </c>
      <c r="E38" s="390">
        <v>6127</v>
      </c>
      <c r="F38" s="390">
        <v>4191</v>
      </c>
      <c r="G38" s="390">
        <v>3380</v>
      </c>
      <c r="H38" s="390"/>
      <c r="I38" s="391">
        <v>2.16</v>
      </c>
      <c r="J38" s="392">
        <f t="shared" si="6"/>
        <v>23.250024</v>
      </c>
      <c r="K38" s="393">
        <f>I38</f>
        <v>2.16</v>
      </c>
      <c r="L38" s="363"/>
      <c r="M38" s="363">
        <f>I38</f>
        <v>2.16</v>
      </c>
      <c r="N38" s="354">
        <f>I38*0.5</f>
        <v>1.08</v>
      </c>
      <c r="O38" s="354">
        <f>I38*0.75</f>
        <v>1.62</v>
      </c>
      <c r="P38" s="363">
        <f>I38</f>
        <v>2.16</v>
      </c>
      <c r="Q38" s="362"/>
      <c r="R38" s="363">
        <f>I38</f>
        <v>2.16</v>
      </c>
    </row>
    <row r="39" spans="2:18" x14ac:dyDescent="0.35">
      <c r="B39" s="394"/>
      <c r="C39" s="390"/>
      <c r="D39" s="390"/>
      <c r="E39" s="390"/>
      <c r="F39" s="390"/>
      <c r="G39" s="390"/>
      <c r="H39" s="390"/>
      <c r="I39" s="392"/>
      <c r="J39" s="392"/>
      <c r="K39" s="355"/>
      <c r="L39" s="356"/>
      <c r="M39" s="356"/>
      <c r="N39" s="341"/>
      <c r="O39" s="341"/>
      <c r="P39" s="356"/>
      <c r="Q39" s="336"/>
      <c r="R39" s="356"/>
    </row>
    <row r="40" spans="2:18" x14ac:dyDescent="0.35">
      <c r="B40" s="366" t="s">
        <v>57</v>
      </c>
      <c r="C40" s="367">
        <f>SUM(C33:C35)+C37</f>
        <v>18178</v>
      </c>
      <c r="D40" s="367">
        <f t="shared" ref="D40:J40" si="7">SUM(D33:D35)+D37</f>
        <v>13011</v>
      </c>
      <c r="E40" s="367">
        <f t="shared" si="7"/>
        <v>10646</v>
      </c>
      <c r="F40" s="367">
        <f t="shared" si="7"/>
        <v>7283</v>
      </c>
      <c r="G40" s="367">
        <f t="shared" si="7"/>
        <v>5872</v>
      </c>
      <c r="H40" s="367">
        <f t="shared" si="7"/>
        <v>0</v>
      </c>
      <c r="I40" s="368">
        <f t="shared" si="7"/>
        <v>6.8450000000000006</v>
      </c>
      <c r="J40" s="368">
        <f t="shared" si="7"/>
        <v>73.678895499999996</v>
      </c>
      <c r="K40" s="395">
        <f>SUM(K33:K35)+K37</f>
        <v>4.5549999999999997</v>
      </c>
      <c r="L40" s="396"/>
      <c r="M40" s="368">
        <f>SUM(M33:M35)+M37</f>
        <v>4.5549999999999997</v>
      </c>
      <c r="N40" s="368">
        <f>SUM(N33:N35)+N37</f>
        <v>3.4225000000000003</v>
      </c>
      <c r="O40" s="368">
        <f>SUM(O33:O35)+O37</f>
        <v>5.1337499999999991</v>
      </c>
      <c r="P40" s="368">
        <f>SUM(P33:P35)+P37</f>
        <v>6.8450000000000006</v>
      </c>
      <c r="Q40" s="370"/>
      <c r="R40" s="368">
        <f>SUM(R33:R35)+R37</f>
        <v>6.8450000000000006</v>
      </c>
    </row>
    <row r="41" spans="2:18" x14ac:dyDescent="0.35">
      <c r="B41" s="366" t="s">
        <v>58</v>
      </c>
      <c r="C41" s="367">
        <f>SUM(C33:C35)+C38</f>
        <v>24692</v>
      </c>
      <c r="D41" s="367">
        <f t="shared" ref="D41:J41" si="8">SUM(D33:D35)+D38</f>
        <v>17673</v>
      </c>
      <c r="E41" s="367">
        <f t="shared" si="8"/>
        <v>14461</v>
      </c>
      <c r="F41" s="367">
        <f>SUM(F33:F35)+F38</f>
        <v>9892</v>
      </c>
      <c r="G41" s="367">
        <f t="shared" si="8"/>
        <v>7977</v>
      </c>
      <c r="H41" s="367">
        <f t="shared" si="8"/>
        <v>0</v>
      </c>
      <c r="I41" s="368">
        <f t="shared" si="8"/>
        <v>9.0050000000000008</v>
      </c>
      <c r="J41" s="368">
        <f t="shared" si="8"/>
        <v>96.928919499999992</v>
      </c>
      <c r="K41" s="395">
        <f>SUM(K33:K35)+K38</f>
        <v>6.7149999999999999</v>
      </c>
      <c r="L41" s="396"/>
      <c r="M41" s="368">
        <f>SUM(M33:M35)+M38</f>
        <v>6.7149999999999999</v>
      </c>
      <c r="N41" s="368">
        <f>SUM(N33:N35)+N38</f>
        <v>4.5025000000000004</v>
      </c>
      <c r="O41" s="368">
        <f>SUM(O33:O35)+O38</f>
        <v>6.7537499999999993</v>
      </c>
      <c r="P41" s="368">
        <f>SUM(P33:P35)+P38</f>
        <v>9.0050000000000008</v>
      </c>
      <c r="Q41" s="370"/>
      <c r="R41" s="368">
        <f>SUM(R33:R35)+R38</f>
        <v>9.0050000000000008</v>
      </c>
    </row>
    <row r="42" spans="2:18" ht="31" x14ac:dyDescent="0.35">
      <c r="B42" s="397" t="s">
        <v>449</v>
      </c>
      <c r="C42" s="367">
        <f>C30+C40</f>
        <v>43489</v>
      </c>
      <c r="D42" s="367">
        <f t="shared" ref="D42:J42" si="9">D30+D40</f>
        <v>31128</v>
      </c>
      <c r="E42" s="367">
        <f t="shared" si="9"/>
        <v>25467</v>
      </c>
      <c r="F42" s="367">
        <f t="shared" si="9"/>
        <v>17422</v>
      </c>
      <c r="G42" s="367">
        <f t="shared" si="9"/>
        <v>14047</v>
      </c>
      <c r="H42" s="368">
        <f t="shared" si="9"/>
        <v>0</v>
      </c>
      <c r="I42" s="398">
        <f>I30+I40</f>
        <v>18.020000000000003</v>
      </c>
      <c r="J42" s="368">
        <f t="shared" si="9"/>
        <v>193.96547799999999</v>
      </c>
      <c r="K42" s="399"/>
      <c r="L42" s="396"/>
      <c r="M42" s="396"/>
      <c r="N42" s="400"/>
      <c r="O42" s="400"/>
      <c r="P42" s="396"/>
      <c r="Q42" s="370"/>
      <c r="R42" s="396"/>
    </row>
    <row r="43" spans="2:18" ht="31" x14ac:dyDescent="0.35">
      <c r="B43" s="397" t="s">
        <v>450</v>
      </c>
      <c r="C43" s="367">
        <f t="shared" ref="C43:J43" si="10">C30+C41</f>
        <v>50003</v>
      </c>
      <c r="D43" s="367">
        <f t="shared" si="10"/>
        <v>35790</v>
      </c>
      <c r="E43" s="367">
        <f t="shared" si="10"/>
        <v>29282</v>
      </c>
      <c r="F43" s="367">
        <f t="shared" si="10"/>
        <v>20031</v>
      </c>
      <c r="G43" s="367">
        <f t="shared" si="10"/>
        <v>16152</v>
      </c>
      <c r="H43" s="368">
        <f t="shared" si="10"/>
        <v>0</v>
      </c>
      <c r="I43" s="368">
        <f t="shared" si="10"/>
        <v>20.18</v>
      </c>
      <c r="J43" s="368">
        <f t="shared" si="10"/>
        <v>217.21550199999999</v>
      </c>
      <c r="K43" s="399"/>
      <c r="M43" s="396"/>
      <c r="N43" s="400"/>
      <c r="O43" s="400"/>
      <c r="P43" s="396"/>
      <c r="Q43" s="370"/>
      <c r="R43" s="396"/>
    </row>
    <row r="44" spans="2:18" s="311" customFormat="1" ht="9" customHeight="1" x14ac:dyDescent="0.35">
      <c r="B44" s="401"/>
      <c r="C44" s="371"/>
      <c r="D44" s="371"/>
      <c r="E44" s="371"/>
      <c r="F44" s="371"/>
      <c r="G44" s="371"/>
      <c r="H44" s="372"/>
      <c r="I44" s="372"/>
      <c r="J44" s="372"/>
      <c r="K44" s="334"/>
      <c r="L44" s="339"/>
      <c r="M44" s="339"/>
      <c r="N44" s="402"/>
      <c r="O44" s="402"/>
      <c r="P44" s="339"/>
      <c r="Q44" s="339"/>
      <c r="R44" s="339"/>
    </row>
    <row r="45" spans="2:18" x14ac:dyDescent="0.35">
      <c r="B45" s="403" t="s">
        <v>24</v>
      </c>
      <c r="C45" s="404"/>
      <c r="D45" s="404"/>
      <c r="E45" s="404"/>
      <c r="F45" s="404"/>
      <c r="G45" s="404"/>
      <c r="H45" s="404"/>
      <c r="I45" s="404"/>
      <c r="J45" s="404"/>
      <c r="K45" s="405"/>
      <c r="L45" s="406"/>
      <c r="M45" s="406"/>
      <c r="N45" s="407"/>
      <c r="O45" s="407"/>
      <c r="P45" s="406"/>
      <c r="Q45" s="406"/>
      <c r="R45" s="406"/>
    </row>
    <row r="46" spans="2:18" x14ac:dyDescent="0.35">
      <c r="B46" s="337" t="s">
        <v>25</v>
      </c>
      <c r="C46" s="353">
        <v>263</v>
      </c>
      <c r="D46" s="353">
        <v>188</v>
      </c>
      <c r="E46" s="353">
        <v>163</v>
      </c>
      <c r="F46" s="353">
        <v>109</v>
      </c>
      <c r="G46" s="353">
        <v>86</v>
      </c>
      <c r="H46" s="353"/>
      <c r="I46" s="353">
        <v>0</v>
      </c>
      <c r="J46" s="392">
        <f>$I46*10.7639</f>
        <v>0</v>
      </c>
      <c r="K46" s="340"/>
      <c r="L46" s="336"/>
      <c r="M46" s="336"/>
      <c r="N46" s="341"/>
      <c r="O46" s="341"/>
      <c r="P46" s="336"/>
      <c r="Q46" s="336"/>
      <c r="R46" s="336"/>
    </row>
    <row r="47" spans="2:18" x14ac:dyDescent="0.35">
      <c r="B47" s="337" t="s">
        <v>451</v>
      </c>
      <c r="C47" s="352">
        <v>1339</v>
      </c>
      <c r="D47" s="353">
        <v>1339</v>
      </c>
      <c r="E47" s="352">
        <v>1339</v>
      </c>
      <c r="F47" s="352">
        <v>1339</v>
      </c>
      <c r="G47" s="352">
        <v>1339</v>
      </c>
      <c r="H47" s="336"/>
      <c r="I47" s="408">
        <v>0.41</v>
      </c>
      <c r="J47" s="392">
        <f>$I47*10.7639</f>
        <v>4.4131989999999996</v>
      </c>
      <c r="K47" s="340"/>
      <c r="L47" s="336"/>
      <c r="M47" s="336"/>
      <c r="N47" s="341"/>
      <c r="O47" s="341"/>
      <c r="P47" s="336"/>
      <c r="Q47" s="336"/>
      <c r="R47" s="336"/>
    </row>
    <row r="48" spans="2:18" x14ac:dyDescent="0.35">
      <c r="B48" s="406" t="s">
        <v>452</v>
      </c>
      <c r="C48" s="352">
        <v>1101</v>
      </c>
      <c r="D48" s="353">
        <v>1101</v>
      </c>
      <c r="E48" s="352">
        <v>1101</v>
      </c>
      <c r="F48" s="352">
        <v>1101</v>
      </c>
      <c r="G48" s="352">
        <v>1101</v>
      </c>
      <c r="H48" s="336"/>
      <c r="I48" s="336">
        <v>0.35</v>
      </c>
      <c r="J48" s="392">
        <f>$I48*10.7639</f>
        <v>3.7673649999999994</v>
      </c>
      <c r="K48" s="340"/>
      <c r="L48" s="336"/>
      <c r="M48" s="336"/>
      <c r="N48" s="341"/>
      <c r="O48" s="341"/>
      <c r="P48" s="336"/>
      <c r="Q48" s="336"/>
      <c r="R48" s="336"/>
    </row>
    <row r="49" spans="2:18" s="364" customFormat="1" x14ac:dyDescent="0.35">
      <c r="B49" s="374"/>
      <c r="C49" s="353"/>
      <c r="D49" s="353"/>
      <c r="E49" s="353"/>
      <c r="F49" s="353"/>
      <c r="G49" s="353"/>
      <c r="H49" s="362"/>
      <c r="I49" s="362"/>
      <c r="J49" s="392"/>
      <c r="K49" s="361"/>
      <c r="L49" s="362"/>
      <c r="M49" s="362"/>
      <c r="N49" s="354"/>
      <c r="O49" s="354"/>
      <c r="P49" s="362"/>
      <c r="Q49" s="362"/>
      <c r="R49" s="362"/>
    </row>
    <row r="50" spans="2:18" s="350" customFormat="1" ht="31" x14ac:dyDescent="0.35">
      <c r="B50" s="397" t="s">
        <v>453</v>
      </c>
      <c r="C50" s="409">
        <f t="shared" ref="C50:J50" si="11">C42+SUM(C46:C48)</f>
        <v>46192</v>
      </c>
      <c r="D50" s="409">
        <f t="shared" si="11"/>
        <v>33756</v>
      </c>
      <c r="E50" s="409">
        <f t="shared" si="11"/>
        <v>28070</v>
      </c>
      <c r="F50" s="409">
        <f t="shared" si="11"/>
        <v>19971</v>
      </c>
      <c r="G50" s="409">
        <f t="shared" si="11"/>
        <v>16573</v>
      </c>
      <c r="H50" s="368">
        <f t="shared" si="11"/>
        <v>0</v>
      </c>
      <c r="I50" s="368">
        <f t="shared" si="11"/>
        <v>18.780000000000005</v>
      </c>
      <c r="J50" s="368">
        <f t="shared" si="11"/>
        <v>202.14604199999999</v>
      </c>
      <c r="K50" s="410">
        <f>K10+K40</f>
        <v>10.992200000000002</v>
      </c>
      <c r="L50" s="411">
        <v>0</v>
      </c>
      <c r="M50" s="411">
        <f>M10+M40</f>
        <v>10.992200000000002</v>
      </c>
      <c r="N50" s="411">
        <f>N30+N40</f>
        <v>9.0100000000000016</v>
      </c>
      <c r="O50" s="411">
        <f>O30+O40</f>
        <v>13.515000000000001</v>
      </c>
      <c r="P50" s="411">
        <f>P30+P40</f>
        <v>18.020000000000003</v>
      </c>
      <c r="Q50" s="411">
        <v>0</v>
      </c>
      <c r="R50" s="411">
        <f>R30+R40</f>
        <v>18.020000000000003</v>
      </c>
    </row>
    <row r="51" spans="2:18" s="350" customFormat="1" ht="31" x14ac:dyDescent="0.35">
      <c r="B51" s="397" t="s">
        <v>454</v>
      </c>
      <c r="C51" s="409">
        <f t="shared" ref="C51:J51" si="12">C43+SUM(C46:C48)</f>
        <v>52706</v>
      </c>
      <c r="D51" s="409">
        <f t="shared" si="12"/>
        <v>38418</v>
      </c>
      <c r="E51" s="409">
        <f t="shared" si="12"/>
        <v>31885</v>
      </c>
      <c r="F51" s="409">
        <f t="shared" si="12"/>
        <v>22580</v>
      </c>
      <c r="G51" s="409">
        <f t="shared" si="12"/>
        <v>18678</v>
      </c>
      <c r="H51" s="368">
        <f t="shared" si="12"/>
        <v>0</v>
      </c>
      <c r="I51" s="368">
        <f t="shared" si="12"/>
        <v>20.94</v>
      </c>
      <c r="J51" s="368">
        <f t="shared" si="12"/>
        <v>225.39606599999999</v>
      </c>
      <c r="K51" s="410">
        <f>K11+K41-0.01</f>
        <v>12.299799999999999</v>
      </c>
      <c r="L51" s="411">
        <v>0</v>
      </c>
      <c r="M51" s="411">
        <f>M11+M41-0.01</f>
        <v>12.299799999999999</v>
      </c>
      <c r="N51" s="411">
        <f>N30+N41</f>
        <v>10.09</v>
      </c>
      <c r="O51" s="411">
        <f>O30+O41</f>
        <v>15.135000000000002</v>
      </c>
      <c r="P51" s="411">
        <f>P30+P41</f>
        <v>20.18</v>
      </c>
      <c r="Q51" s="411">
        <v>0</v>
      </c>
      <c r="R51" s="411">
        <f>R30+R41</f>
        <v>20.18</v>
      </c>
    </row>
    <row r="52" spans="2:18" s="415" customFormat="1" ht="9" customHeight="1" x14ac:dyDescent="0.35">
      <c r="B52" s="412"/>
      <c r="C52" s="413"/>
      <c r="D52" s="413"/>
      <c r="E52" s="413"/>
      <c r="F52" s="413"/>
      <c r="G52" s="413"/>
      <c r="H52" s="413"/>
      <c r="I52" s="372"/>
      <c r="J52" s="372"/>
      <c r="K52" s="414"/>
      <c r="L52" s="414"/>
      <c r="M52" s="414"/>
      <c r="N52" s="414"/>
      <c r="O52" s="414"/>
      <c r="P52" s="414"/>
      <c r="Q52" s="414"/>
      <c r="R52" s="414"/>
    </row>
    <row r="53" spans="2:18" s="350" customFormat="1" x14ac:dyDescent="0.35">
      <c r="B53" s="416" t="s">
        <v>28</v>
      </c>
      <c r="C53" s="375"/>
      <c r="D53" s="375"/>
      <c r="E53" s="375"/>
      <c r="F53" s="375"/>
      <c r="G53" s="375"/>
      <c r="H53" s="376"/>
      <c r="I53" s="346"/>
      <c r="J53" s="346"/>
      <c r="K53" s="417"/>
      <c r="L53" s="417"/>
      <c r="M53" s="417"/>
      <c r="N53" s="418" t="s">
        <v>455</v>
      </c>
      <c r="O53" s="313" t="s">
        <v>456</v>
      </c>
      <c r="P53" s="311" t="s">
        <v>457</v>
      </c>
      <c r="Q53" s="417"/>
      <c r="R53" s="417"/>
    </row>
    <row r="54" spans="2:18" x14ac:dyDescent="0.35">
      <c r="B54" s="335" t="s">
        <v>458</v>
      </c>
      <c r="C54" s="352">
        <v>1971</v>
      </c>
      <c r="D54" s="353">
        <v>1410</v>
      </c>
      <c r="E54" s="352">
        <v>1154</v>
      </c>
      <c r="F54" s="352">
        <v>789</v>
      </c>
      <c r="G54" s="353">
        <v>637</v>
      </c>
      <c r="H54" s="352"/>
      <c r="I54" s="354">
        <v>1.04</v>
      </c>
      <c r="J54" s="392">
        <f>$I54*10.7639</f>
        <v>11.194456000000001</v>
      </c>
    </row>
    <row r="55" spans="2:18" ht="31" x14ac:dyDescent="0.35">
      <c r="B55" s="419" t="s">
        <v>459</v>
      </c>
      <c r="C55" s="409">
        <f t="shared" ref="C55:J55" si="13">C50+C54</f>
        <v>48163</v>
      </c>
      <c r="D55" s="409">
        <f t="shared" si="13"/>
        <v>35166</v>
      </c>
      <c r="E55" s="409">
        <f t="shared" si="13"/>
        <v>29224</v>
      </c>
      <c r="F55" s="409">
        <f t="shared" si="13"/>
        <v>20760</v>
      </c>
      <c r="G55" s="409">
        <f t="shared" si="13"/>
        <v>17210</v>
      </c>
      <c r="H55" s="368">
        <f t="shared" si="13"/>
        <v>0</v>
      </c>
      <c r="I55" s="368">
        <f t="shared" si="13"/>
        <v>19.820000000000004</v>
      </c>
      <c r="J55" s="368">
        <f t="shared" si="13"/>
        <v>213.340498</v>
      </c>
    </row>
    <row r="56" spans="2:18" ht="31" x14ac:dyDescent="0.35">
      <c r="B56" s="419" t="s">
        <v>460</v>
      </c>
      <c r="C56" s="409">
        <f t="shared" ref="C56:J56" si="14">C51+C54</f>
        <v>54677</v>
      </c>
      <c r="D56" s="409">
        <f t="shared" si="14"/>
        <v>39828</v>
      </c>
      <c r="E56" s="409">
        <f t="shared" si="14"/>
        <v>33039</v>
      </c>
      <c r="F56" s="409">
        <f t="shared" si="14"/>
        <v>23369</v>
      </c>
      <c r="G56" s="409">
        <f t="shared" si="14"/>
        <v>19315</v>
      </c>
      <c r="H56" s="368">
        <f t="shared" si="14"/>
        <v>0</v>
      </c>
      <c r="I56" s="368">
        <f t="shared" si="14"/>
        <v>21.98</v>
      </c>
      <c r="J56" s="368">
        <f t="shared" si="14"/>
        <v>236.59052199999999</v>
      </c>
    </row>
    <row r="57" spans="2:18" x14ac:dyDescent="0.35">
      <c r="B57" s="420"/>
      <c r="C57" s="336"/>
      <c r="D57" s="336"/>
      <c r="E57" s="336"/>
      <c r="F57" s="336"/>
      <c r="G57" s="336"/>
      <c r="H57" s="336"/>
      <c r="I57" s="336"/>
      <c r="J57" s="336"/>
    </row>
    <row r="58" spans="2:18" x14ac:dyDescent="0.35">
      <c r="B58" s="421" t="s">
        <v>461</v>
      </c>
      <c r="C58" s="422">
        <v>-10950</v>
      </c>
      <c r="D58" s="423">
        <v>-6413</v>
      </c>
      <c r="E58" s="422">
        <v>-4386</v>
      </c>
      <c r="F58" s="422">
        <v>-7837</v>
      </c>
      <c r="G58" s="423">
        <v>-3537</v>
      </c>
      <c r="H58" s="336"/>
      <c r="I58" s="353">
        <v>0</v>
      </c>
      <c r="J58" s="392">
        <v>0</v>
      </c>
    </row>
    <row r="59" spans="2:18" x14ac:dyDescent="0.35">
      <c r="B59" s="424"/>
      <c r="C59" s="333"/>
      <c r="D59" s="333"/>
      <c r="E59" s="333"/>
      <c r="F59" s="333"/>
      <c r="G59" s="333"/>
      <c r="H59" s="333"/>
      <c r="I59" s="333"/>
      <c r="J59" s="333"/>
      <c r="K59" s="311" t="s">
        <v>20</v>
      </c>
    </row>
    <row r="60" spans="2:18" x14ac:dyDescent="0.35">
      <c r="B60" s="425"/>
      <c r="C60" s="311"/>
    </row>
    <row r="61" spans="2:18" x14ac:dyDescent="0.35">
      <c r="B61" s="425"/>
      <c r="C61" s="311"/>
    </row>
    <row r="64" spans="2:18" hidden="1" x14ac:dyDescent="0.35"/>
    <row r="65" spans="2:2" hidden="1" x14ac:dyDescent="0.35">
      <c r="B65" s="426" t="s">
        <v>32</v>
      </c>
    </row>
    <row r="66" spans="2:2" hidden="1" x14ac:dyDescent="0.35">
      <c r="B66" s="427" t="s">
        <v>69</v>
      </c>
    </row>
    <row r="67" spans="2:2" hidden="1" x14ac:dyDescent="0.35">
      <c r="B67" s="310" t="s">
        <v>61</v>
      </c>
    </row>
    <row r="68" spans="2:2" hidden="1" x14ac:dyDescent="0.35">
      <c r="B68" s="310" t="s">
        <v>462</v>
      </c>
    </row>
    <row r="69" spans="2:2" hidden="1" x14ac:dyDescent="0.35"/>
    <row r="70" spans="2:2" hidden="1" x14ac:dyDescent="0.35"/>
    <row r="71" spans="2:2" hidden="1" x14ac:dyDescent="0.35"/>
    <row r="72" spans="2:2" hidden="1" x14ac:dyDescent="0.35">
      <c r="B72" s="350" t="s">
        <v>68</v>
      </c>
    </row>
    <row r="73" spans="2:2" hidden="1" x14ac:dyDescent="0.35">
      <c r="B73" s="428" t="s">
        <v>62</v>
      </c>
    </row>
    <row r="74" spans="2:2" hidden="1" x14ac:dyDescent="0.35">
      <c r="B74" s="310" t="s">
        <v>64</v>
      </c>
    </row>
    <row r="75" spans="2:2" hidden="1" x14ac:dyDescent="0.35">
      <c r="B75" s="310" t="s">
        <v>65</v>
      </c>
    </row>
    <row r="76" spans="2:2" hidden="1" x14ac:dyDescent="0.35">
      <c r="B76" s="310" t="s">
        <v>66</v>
      </c>
    </row>
    <row r="77" spans="2:2" hidden="1" x14ac:dyDescent="0.35">
      <c r="B77" s="310" t="s">
        <v>67</v>
      </c>
    </row>
    <row r="78" spans="2:2" hidden="1" x14ac:dyDescent="0.35">
      <c r="B78" s="310" t="s">
        <v>105</v>
      </c>
    </row>
    <row r="79" spans="2:2" hidden="1" x14ac:dyDescent="0.35">
      <c r="B79" s="310" t="s">
        <v>70</v>
      </c>
    </row>
    <row r="80" spans="2:2" hidden="1" x14ac:dyDescent="0.35">
      <c r="B80" s="310" t="s">
        <v>71</v>
      </c>
    </row>
    <row r="81" spans="1:2" hidden="1" x14ac:dyDescent="0.35">
      <c r="A81" s="429"/>
      <c r="B81" s="310" t="s">
        <v>72</v>
      </c>
    </row>
    <row r="82" spans="1:2" hidden="1" x14ac:dyDescent="0.35">
      <c r="A82" s="364" t="s">
        <v>87</v>
      </c>
      <c r="B82" s="310" t="s">
        <v>77</v>
      </c>
    </row>
    <row r="83" spans="1:2" hidden="1" x14ac:dyDescent="0.35">
      <c r="A83" s="364"/>
    </row>
    <row r="84" spans="1:2" hidden="1" x14ac:dyDescent="0.35">
      <c r="A84" s="364"/>
    </row>
    <row r="85" spans="1:2" hidden="1" x14ac:dyDescent="0.35">
      <c r="A85" s="364"/>
    </row>
    <row r="86" spans="1:2" hidden="1" x14ac:dyDescent="0.35">
      <c r="A86" s="364"/>
      <c r="B86" s="428" t="s">
        <v>63</v>
      </c>
    </row>
    <row r="87" spans="1:2" hidden="1" x14ac:dyDescent="0.35">
      <c r="A87" s="364"/>
      <c r="B87" s="350"/>
    </row>
    <row r="88" spans="1:2" hidden="1" x14ac:dyDescent="0.35">
      <c r="A88" s="364" t="s">
        <v>88</v>
      </c>
      <c r="B88" s="310" t="s">
        <v>73</v>
      </c>
    </row>
    <row r="89" spans="1:2" hidden="1" x14ac:dyDescent="0.35">
      <c r="A89" s="364" t="s">
        <v>89</v>
      </c>
      <c r="B89" s="310" t="s">
        <v>74</v>
      </c>
    </row>
    <row r="90" spans="1:2" hidden="1" x14ac:dyDescent="0.35">
      <c r="A90" s="364" t="s">
        <v>90</v>
      </c>
      <c r="B90" s="310" t="s">
        <v>9</v>
      </c>
    </row>
    <row r="91" spans="1:2" hidden="1" x14ac:dyDescent="0.35">
      <c r="A91" s="364" t="s">
        <v>91</v>
      </c>
      <c r="B91" s="310" t="s">
        <v>76</v>
      </c>
    </row>
    <row r="92" spans="1:2" hidden="1" x14ac:dyDescent="0.35">
      <c r="A92" s="364"/>
      <c r="B92" s="310" t="s">
        <v>75</v>
      </c>
    </row>
    <row r="93" spans="1:2" hidden="1" x14ac:dyDescent="0.35"/>
    <row r="94" spans="1:2" hidden="1" x14ac:dyDescent="0.35"/>
    <row r="95" spans="1:2" hidden="1" x14ac:dyDescent="0.35"/>
    <row r="96" spans="1:2" hidden="1" x14ac:dyDescent="0.35"/>
    <row r="97" spans="1:2" hidden="1" x14ac:dyDescent="0.35"/>
    <row r="98" spans="1:2" hidden="1" x14ac:dyDescent="0.35"/>
    <row r="99" spans="1:2" hidden="1" x14ac:dyDescent="0.35">
      <c r="A99" s="310" t="s">
        <v>16</v>
      </c>
    </row>
    <row r="100" spans="1:2" hidden="1" x14ac:dyDescent="0.35">
      <c r="A100" s="430" t="s">
        <v>82</v>
      </c>
      <c r="B100" s="431" t="s">
        <v>463</v>
      </c>
    </row>
    <row r="101" spans="1:2" hidden="1" x14ac:dyDescent="0.35">
      <c r="A101" s="430" t="s">
        <v>83</v>
      </c>
      <c r="B101" s="432" t="s">
        <v>34</v>
      </c>
    </row>
    <row r="102" spans="1:2" hidden="1" x14ac:dyDescent="0.35">
      <c r="A102" s="430" t="s">
        <v>84</v>
      </c>
      <c r="B102" s="310" t="s">
        <v>92</v>
      </c>
    </row>
    <row r="103" spans="1:2" hidden="1" x14ac:dyDescent="0.35">
      <c r="A103" s="430" t="s">
        <v>85</v>
      </c>
      <c r="B103" s="431" t="s">
        <v>93</v>
      </c>
    </row>
    <row r="104" spans="1:2" hidden="1" x14ac:dyDescent="0.35">
      <c r="A104" s="430" t="s">
        <v>86</v>
      </c>
      <c r="B104" s="431" t="s">
        <v>94</v>
      </c>
    </row>
    <row r="105" spans="1:2" hidden="1" x14ac:dyDescent="0.35">
      <c r="B105" s="431"/>
    </row>
    <row r="106" spans="1:2" hidden="1" x14ac:dyDescent="0.35"/>
    <row r="107" spans="1:2" hidden="1" x14ac:dyDescent="0.35"/>
    <row r="108" spans="1:2" hidden="1" x14ac:dyDescent="0.35"/>
    <row r="109" spans="1:2" hidden="1" x14ac:dyDescent="0.35"/>
    <row r="110" spans="1:2" hidden="1" x14ac:dyDescent="0.35"/>
    <row r="111" spans="1:2" hidden="1" x14ac:dyDescent="0.35"/>
  </sheetData>
  <mergeCells count="6">
    <mergeCell ref="B2:J2"/>
    <mergeCell ref="C3:G3"/>
    <mergeCell ref="I3:J4"/>
    <mergeCell ref="K3:M3"/>
    <mergeCell ref="N3:R3"/>
    <mergeCell ref="B4:B5"/>
  </mergeCells>
  <pageMargins left="0.70866141732283472" right="0.70866141732283472" top="0.74803149606299213" bottom="0.74803149606299213" header="0.31496062992125984" footer="0.31496062992125984"/>
  <pageSetup scale="2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3F9AF-5C57-4788-83CD-BBE2D5D26327}">
  <sheetPr codeName="Sheet16">
    <tabColor rgb="FFFF0000"/>
  </sheetPr>
  <dimension ref="A1:Q154"/>
  <sheetViews>
    <sheetView zoomScale="85" zoomScaleNormal="85" workbookViewId="0">
      <pane xSplit="2" ySplit="5" topLeftCell="C6" activePane="bottomRight" state="frozen"/>
      <selection pane="topRight" activeCell="C1" sqref="C1"/>
      <selection pane="bottomLeft" activeCell="A6" sqref="A6"/>
      <selection pane="bottomRight" activeCell="J10" sqref="J10:J11"/>
    </sheetView>
  </sheetViews>
  <sheetFormatPr defaultRowHeight="14.5" outlineLevelRow="3" x14ac:dyDescent="0.35"/>
  <cols>
    <col min="1" max="1" width="2" customWidth="1"/>
    <col min="2" max="2" width="50" customWidth="1"/>
    <col min="3" max="3" width="20.54296875" customWidth="1"/>
    <col min="4" max="4" width="19" style="6" customWidth="1"/>
    <col min="5" max="5" width="19.1796875" style="6" customWidth="1"/>
    <col min="6" max="6" width="19" style="6" customWidth="1"/>
    <col min="7" max="7" width="17.7265625" style="6" bestFit="1" customWidth="1"/>
    <col min="8" max="8" width="11.453125" style="6" customWidth="1"/>
    <col min="9" max="9" width="11" style="6" bestFit="1" customWidth="1"/>
    <col min="10" max="10" width="17.1796875" style="6" bestFit="1" customWidth="1"/>
    <col min="11" max="12" width="15.81640625" style="6" customWidth="1"/>
    <col min="13" max="14" width="12.7265625" style="9" customWidth="1"/>
    <col min="15" max="15" width="13.81640625" style="6" customWidth="1"/>
    <col min="16" max="16" width="12.7265625" style="6" bestFit="1" customWidth="1"/>
    <col min="17" max="17" width="13.81640625" style="6" customWidth="1"/>
    <col min="18" max="18" width="9.26953125" bestFit="1" customWidth="1"/>
    <col min="19" max="20" width="9.54296875" bestFit="1" customWidth="1"/>
  </cols>
  <sheetData>
    <row r="1" spans="2:17" x14ac:dyDescent="0.35">
      <c r="M1" s="14"/>
    </row>
    <row r="2" spans="2:17" s="58" customFormat="1" ht="18.5" x14ac:dyDescent="0.45">
      <c r="B2" s="568" t="s">
        <v>368</v>
      </c>
      <c r="C2" s="559"/>
      <c r="D2" s="559"/>
      <c r="E2" s="559"/>
      <c r="F2" s="559"/>
      <c r="G2" s="559"/>
      <c r="H2" s="559"/>
      <c r="I2" s="559"/>
      <c r="J2" s="559"/>
      <c r="K2" s="559"/>
      <c r="L2" s="559"/>
      <c r="M2" s="559"/>
      <c r="N2" s="559"/>
      <c r="O2" s="559"/>
      <c r="P2" s="56"/>
      <c r="Q2" s="57"/>
    </row>
    <row r="3" spans="2:17" s="60" customFormat="1" ht="15.5" x14ac:dyDescent="0.35">
      <c r="B3" s="59"/>
      <c r="C3" s="569" t="s">
        <v>21</v>
      </c>
      <c r="D3" s="569"/>
      <c r="E3" s="569"/>
      <c r="F3" s="569"/>
      <c r="G3" s="569"/>
      <c r="H3" s="570" t="s">
        <v>78</v>
      </c>
      <c r="I3" s="571"/>
      <c r="J3" s="553" t="s">
        <v>30</v>
      </c>
      <c r="K3" s="553"/>
      <c r="L3" s="561"/>
      <c r="M3" s="572" t="s">
        <v>31</v>
      </c>
      <c r="N3" s="562"/>
      <c r="O3" s="562"/>
      <c r="P3" s="562"/>
      <c r="Q3" s="563"/>
    </row>
    <row r="4" spans="2:17" s="10" customFormat="1" ht="72.5" x14ac:dyDescent="0.35">
      <c r="B4" s="564"/>
      <c r="C4" s="12" t="s">
        <v>99</v>
      </c>
      <c r="D4" s="12" t="s">
        <v>101</v>
      </c>
      <c r="E4" s="12" t="s">
        <v>102</v>
      </c>
      <c r="F4" s="12" t="s">
        <v>98</v>
      </c>
      <c r="G4" s="16" t="s">
        <v>100</v>
      </c>
      <c r="H4" s="18" t="s">
        <v>80</v>
      </c>
      <c r="I4" s="184" t="s">
        <v>81</v>
      </c>
      <c r="J4" s="12" t="s">
        <v>95</v>
      </c>
      <c r="K4" s="11" t="s">
        <v>2</v>
      </c>
      <c r="L4" s="11" t="s">
        <v>3</v>
      </c>
      <c r="M4" s="12" t="s">
        <v>4</v>
      </c>
      <c r="N4" s="297" t="s">
        <v>5</v>
      </c>
      <c r="O4" s="12" t="s">
        <v>6</v>
      </c>
      <c r="P4" s="11" t="s">
        <v>7</v>
      </c>
      <c r="Q4" s="12" t="s">
        <v>8</v>
      </c>
    </row>
    <row r="5" spans="2:17" s="10" customFormat="1" x14ac:dyDescent="0.35">
      <c r="B5" s="565"/>
      <c r="C5" s="13" t="s">
        <v>103</v>
      </c>
      <c r="D5" s="13" t="s">
        <v>103</v>
      </c>
      <c r="E5" s="13" t="s">
        <v>103</v>
      </c>
      <c r="F5" s="13" t="s">
        <v>103</v>
      </c>
      <c r="G5" s="17" t="s">
        <v>104</v>
      </c>
      <c r="H5" s="566" t="s">
        <v>22</v>
      </c>
      <c r="I5" s="567"/>
      <c r="J5" s="17" t="s">
        <v>22</v>
      </c>
      <c r="K5" s="13" t="s">
        <v>22</v>
      </c>
      <c r="L5" s="13" t="s">
        <v>22</v>
      </c>
      <c r="M5" s="36" t="s">
        <v>22</v>
      </c>
      <c r="N5" s="22" t="s">
        <v>22</v>
      </c>
      <c r="O5" s="22" t="s">
        <v>22</v>
      </c>
      <c r="P5" s="22" t="s">
        <v>22</v>
      </c>
      <c r="Q5" s="22" t="s">
        <v>22</v>
      </c>
    </row>
    <row r="6" spans="2:17" x14ac:dyDescent="0.35">
      <c r="C6" s="70"/>
      <c r="H6" s="32"/>
      <c r="J6" s="70"/>
      <c r="M6" s="14"/>
      <c r="Q6" s="71"/>
    </row>
    <row r="7" spans="2:17" ht="15.5" x14ac:dyDescent="0.35">
      <c r="B7" s="61" t="s">
        <v>23</v>
      </c>
      <c r="C7" s="70"/>
      <c r="H7" s="32"/>
      <c r="J7" s="70"/>
      <c r="Q7" s="71"/>
    </row>
    <row r="8" spans="2:17" s="4" customFormat="1" x14ac:dyDescent="0.35">
      <c r="B8" s="26" t="s">
        <v>56</v>
      </c>
      <c r="C8" s="196">
        <f t="shared" ref="C8:I8" si="0">SUM(C9:C28)</f>
        <v>17409</v>
      </c>
      <c r="D8" s="27">
        <f t="shared" si="0"/>
        <v>12583</v>
      </c>
      <c r="E8" s="27">
        <f t="shared" si="0"/>
        <v>10629</v>
      </c>
      <c r="F8" s="27">
        <f t="shared" si="0"/>
        <v>7396</v>
      </c>
      <c r="G8" s="27">
        <f t="shared" si="0"/>
        <v>5646</v>
      </c>
      <c r="H8" s="33">
        <f t="shared" si="0"/>
        <v>6.278999999999999</v>
      </c>
      <c r="I8" s="30">
        <f t="shared" si="0"/>
        <v>11.329999999999998</v>
      </c>
      <c r="J8" s="186" t="s">
        <v>410</v>
      </c>
      <c r="K8" s="30">
        <f>SUM(K9:K28)</f>
        <v>0</v>
      </c>
      <c r="L8" s="62" t="str">
        <f>J8</f>
        <v>$6.44 or $5.59</v>
      </c>
      <c r="M8" s="30">
        <f>SUM(M9:M28)</f>
        <v>5.6649999999999991</v>
      </c>
      <c r="N8" s="30">
        <f>SUM(N9:N28)</f>
        <v>8.4974999999999987</v>
      </c>
      <c r="O8" s="30">
        <f>SUM(O9:O28)</f>
        <v>11.329999999999998</v>
      </c>
      <c r="P8" s="30">
        <f>SUM(P9:P28)</f>
        <v>0</v>
      </c>
      <c r="Q8" s="190">
        <f>SUM(Q9:Q28)</f>
        <v>11.329999999999998</v>
      </c>
    </row>
    <row r="9" spans="2:17" outlineLevel="2" x14ac:dyDescent="0.35">
      <c r="B9" s="23" t="s">
        <v>35</v>
      </c>
      <c r="C9" s="197">
        <v>8939</v>
      </c>
      <c r="D9" s="25">
        <v>6460</v>
      </c>
      <c r="E9" s="25">
        <v>5458</v>
      </c>
      <c r="F9" s="41">
        <v>3797</v>
      </c>
      <c r="G9" s="42">
        <v>2900</v>
      </c>
      <c r="H9" s="34">
        <f>I9*0.69</f>
        <v>6.278999999999999</v>
      </c>
      <c r="I9" s="179">
        <v>9.1</v>
      </c>
      <c r="J9" s="187"/>
      <c r="K9" s="38"/>
      <c r="L9" s="38"/>
      <c r="M9" s="9">
        <f>I9*0.5</f>
        <v>4.55</v>
      </c>
      <c r="N9" s="9">
        <f>I9*0.75</f>
        <v>6.8249999999999993</v>
      </c>
      <c r="O9" s="38">
        <f>I9</f>
        <v>9.1</v>
      </c>
      <c r="Q9" s="174">
        <f>I9</f>
        <v>9.1</v>
      </c>
    </row>
    <row r="10" spans="2:17" ht="26.5" outlineLevel="3" x14ac:dyDescent="0.35">
      <c r="B10" s="64" t="s">
        <v>96</v>
      </c>
      <c r="C10" s="197"/>
      <c r="D10" s="25"/>
      <c r="E10" s="25"/>
      <c r="F10" s="41"/>
      <c r="G10" s="42"/>
      <c r="H10" s="34"/>
      <c r="I10" s="179"/>
      <c r="J10" s="187">
        <f>I49*0.61-J30</f>
        <v>6.2718999999999996</v>
      </c>
      <c r="K10" s="38"/>
      <c r="L10" s="38">
        <f>J10</f>
        <v>6.2718999999999996</v>
      </c>
      <c r="O10" s="38"/>
      <c r="Q10" s="174"/>
    </row>
    <row r="11" spans="2:17" ht="26.5" outlineLevel="3" x14ac:dyDescent="0.35">
      <c r="B11" s="64" t="s">
        <v>97</v>
      </c>
      <c r="C11" s="197"/>
      <c r="D11" s="25"/>
      <c r="E11" s="25"/>
      <c r="F11" s="41"/>
      <c r="G11" s="42"/>
      <c r="H11" s="34"/>
      <c r="I11" s="179"/>
      <c r="J11" s="187">
        <f>I50*0.61-J36</f>
        <v>5.9193999999999996</v>
      </c>
      <c r="K11" s="38"/>
      <c r="L11" s="38">
        <f>J11</f>
        <v>5.9193999999999996</v>
      </c>
      <c r="O11" s="38"/>
      <c r="Q11" s="174"/>
    </row>
    <row r="12" spans="2:17" outlineLevel="2" x14ac:dyDescent="0.35">
      <c r="B12" s="23" t="s">
        <v>50</v>
      </c>
      <c r="C12" s="197">
        <v>333</v>
      </c>
      <c r="D12" s="25">
        <v>241</v>
      </c>
      <c r="E12" s="25">
        <v>204</v>
      </c>
      <c r="F12" s="41">
        <v>141</v>
      </c>
      <c r="G12" s="42">
        <v>108</v>
      </c>
      <c r="H12" s="43"/>
      <c r="I12" s="7">
        <v>0.19</v>
      </c>
      <c r="J12" s="70"/>
      <c r="M12" s="9">
        <f t="shared" ref="M12:M28" si="1">I12*0.5</f>
        <v>9.5000000000000001E-2</v>
      </c>
      <c r="N12" s="9">
        <f t="shared" ref="N12:N28" si="2">I12*0.75</f>
        <v>0.14250000000000002</v>
      </c>
      <c r="O12" s="38">
        <f t="shared" ref="O12:O28" si="3">I12</f>
        <v>0.19</v>
      </c>
      <c r="Q12" s="174">
        <f t="shared" ref="Q12:Q28" si="4">I12</f>
        <v>0.19</v>
      </c>
    </row>
    <row r="13" spans="2:17" outlineLevel="2" x14ac:dyDescent="0.35">
      <c r="B13" s="23" t="s">
        <v>36</v>
      </c>
      <c r="C13" s="197">
        <v>421</v>
      </c>
      <c r="D13" s="25">
        <v>305</v>
      </c>
      <c r="E13" s="25">
        <v>256</v>
      </c>
      <c r="F13" s="41">
        <v>179</v>
      </c>
      <c r="G13" s="42">
        <v>137</v>
      </c>
      <c r="H13" s="43"/>
      <c r="I13" s="7">
        <v>0.23</v>
      </c>
      <c r="J13" s="70"/>
      <c r="M13" s="9">
        <f t="shared" si="1"/>
        <v>0.115</v>
      </c>
      <c r="N13" s="9">
        <f t="shared" si="2"/>
        <v>0.17250000000000001</v>
      </c>
      <c r="O13" s="38">
        <f t="shared" si="3"/>
        <v>0.23</v>
      </c>
      <c r="Q13" s="174">
        <f t="shared" si="4"/>
        <v>0.23</v>
      </c>
    </row>
    <row r="14" spans="2:17" outlineLevel="2" x14ac:dyDescent="0.35">
      <c r="B14" s="23" t="s">
        <v>37</v>
      </c>
      <c r="C14" s="197">
        <v>371</v>
      </c>
      <c r="D14" s="25">
        <v>268</v>
      </c>
      <c r="E14" s="25">
        <v>227</v>
      </c>
      <c r="F14" s="42">
        <v>158</v>
      </c>
      <c r="G14" s="42">
        <v>120</v>
      </c>
      <c r="H14" s="43"/>
      <c r="I14" s="179">
        <v>0.21</v>
      </c>
      <c r="J14" s="70"/>
      <c r="M14" s="9">
        <f t="shared" si="1"/>
        <v>0.105</v>
      </c>
      <c r="N14" s="9">
        <f t="shared" si="2"/>
        <v>0.1575</v>
      </c>
      <c r="O14" s="38">
        <f t="shared" si="3"/>
        <v>0.21</v>
      </c>
      <c r="Q14" s="174">
        <f t="shared" si="4"/>
        <v>0.21</v>
      </c>
    </row>
    <row r="15" spans="2:17" outlineLevel="2" x14ac:dyDescent="0.35">
      <c r="B15" s="23" t="s">
        <v>38</v>
      </c>
      <c r="C15" s="197">
        <v>544</v>
      </c>
      <c r="D15" s="25">
        <v>393</v>
      </c>
      <c r="E15" s="25">
        <v>332</v>
      </c>
      <c r="F15" s="42">
        <v>231</v>
      </c>
      <c r="G15" s="42">
        <v>176</v>
      </c>
      <c r="H15" s="43"/>
      <c r="I15" s="179">
        <v>0.34</v>
      </c>
      <c r="J15" s="70"/>
      <c r="M15" s="9">
        <f t="shared" si="1"/>
        <v>0.17</v>
      </c>
      <c r="N15" s="9">
        <f t="shared" si="2"/>
        <v>0.255</v>
      </c>
      <c r="O15" s="38">
        <f t="shared" si="3"/>
        <v>0.34</v>
      </c>
      <c r="Q15" s="174">
        <f t="shared" si="4"/>
        <v>0.34</v>
      </c>
    </row>
    <row r="16" spans="2:17" outlineLevel="2" x14ac:dyDescent="0.35">
      <c r="B16" s="23" t="s">
        <v>39</v>
      </c>
      <c r="C16" s="197">
        <v>1479</v>
      </c>
      <c r="D16" s="25">
        <v>1069</v>
      </c>
      <c r="E16" s="25">
        <v>903</v>
      </c>
      <c r="F16" s="42">
        <v>628</v>
      </c>
      <c r="G16" s="42">
        <v>480</v>
      </c>
      <c r="H16" s="43"/>
      <c r="I16" s="179">
        <v>0.11</v>
      </c>
      <c r="J16" s="70"/>
      <c r="M16" s="9">
        <f t="shared" si="1"/>
        <v>5.5E-2</v>
      </c>
      <c r="N16" s="9">
        <f t="shared" si="2"/>
        <v>8.2500000000000004E-2</v>
      </c>
      <c r="O16" s="38">
        <f t="shared" si="3"/>
        <v>0.11</v>
      </c>
      <c r="Q16" s="174">
        <f t="shared" si="4"/>
        <v>0.11</v>
      </c>
    </row>
    <row r="17" spans="2:17" outlineLevel="2" x14ac:dyDescent="0.35">
      <c r="B17" s="23" t="s">
        <v>40</v>
      </c>
      <c r="C17" s="197">
        <v>2271</v>
      </c>
      <c r="D17" s="25">
        <v>1641</v>
      </c>
      <c r="E17" s="25">
        <v>1387</v>
      </c>
      <c r="F17" s="42">
        <v>965</v>
      </c>
      <c r="G17" s="42">
        <v>737</v>
      </c>
      <c r="H17" s="43"/>
      <c r="I17" s="179">
        <v>0.16</v>
      </c>
      <c r="J17" s="70"/>
      <c r="M17" s="9">
        <f t="shared" si="1"/>
        <v>0.08</v>
      </c>
      <c r="N17" s="9">
        <f t="shared" si="2"/>
        <v>0.12</v>
      </c>
      <c r="O17" s="38">
        <f t="shared" si="3"/>
        <v>0.16</v>
      </c>
      <c r="Q17" s="174">
        <f t="shared" si="4"/>
        <v>0.16</v>
      </c>
    </row>
    <row r="18" spans="2:17" outlineLevel="2" x14ac:dyDescent="0.35">
      <c r="B18" s="23" t="s">
        <v>41</v>
      </c>
      <c r="C18" s="197">
        <v>642</v>
      </c>
      <c r="D18" s="25">
        <v>464</v>
      </c>
      <c r="E18" s="25">
        <v>392</v>
      </c>
      <c r="F18" s="42">
        <v>273</v>
      </c>
      <c r="G18" s="42">
        <v>208</v>
      </c>
      <c r="H18" s="43"/>
      <c r="I18" s="179">
        <v>0.04</v>
      </c>
      <c r="J18" s="70"/>
      <c r="M18" s="9">
        <f t="shared" si="1"/>
        <v>0.02</v>
      </c>
      <c r="N18" s="9">
        <f t="shared" si="2"/>
        <v>0.03</v>
      </c>
      <c r="O18" s="38">
        <f t="shared" si="3"/>
        <v>0.04</v>
      </c>
      <c r="Q18" s="174">
        <f t="shared" si="4"/>
        <v>0.04</v>
      </c>
    </row>
    <row r="19" spans="2:17" outlineLevel="2" x14ac:dyDescent="0.35">
      <c r="B19" s="309" t="s">
        <v>42</v>
      </c>
      <c r="C19" s="197">
        <v>795</v>
      </c>
      <c r="D19" s="25">
        <v>575</v>
      </c>
      <c r="E19" s="25">
        <v>485</v>
      </c>
      <c r="F19" s="42">
        <v>337</v>
      </c>
      <c r="G19" s="42">
        <v>258</v>
      </c>
      <c r="H19" s="43"/>
      <c r="I19" s="179">
        <v>0.48</v>
      </c>
      <c r="J19" s="70"/>
      <c r="M19" s="9">
        <f t="shared" si="1"/>
        <v>0.24</v>
      </c>
      <c r="N19" s="9">
        <f t="shared" si="2"/>
        <v>0.36</v>
      </c>
      <c r="O19" s="38">
        <f t="shared" si="3"/>
        <v>0.48</v>
      </c>
      <c r="Q19" s="174">
        <f t="shared" si="4"/>
        <v>0.48</v>
      </c>
    </row>
    <row r="20" spans="2:17" outlineLevel="2" x14ac:dyDescent="0.35">
      <c r="B20" s="23" t="s">
        <v>43</v>
      </c>
      <c r="C20" s="197">
        <v>39</v>
      </c>
      <c r="D20" s="25">
        <v>28</v>
      </c>
      <c r="E20" s="25">
        <v>24</v>
      </c>
      <c r="F20" s="42">
        <v>16</v>
      </c>
      <c r="G20" s="42">
        <v>13</v>
      </c>
      <c r="H20" s="43"/>
      <c r="I20" s="179">
        <v>0.02</v>
      </c>
      <c r="J20" s="70"/>
      <c r="M20" s="9">
        <f t="shared" si="1"/>
        <v>0.01</v>
      </c>
      <c r="N20" s="9">
        <f t="shared" si="2"/>
        <v>1.4999999999999999E-2</v>
      </c>
      <c r="O20" s="38">
        <f t="shared" si="3"/>
        <v>0.02</v>
      </c>
      <c r="Q20" s="174">
        <f t="shared" si="4"/>
        <v>0.02</v>
      </c>
    </row>
    <row r="21" spans="2:17" outlineLevel="2" x14ac:dyDescent="0.35">
      <c r="B21" s="23" t="s">
        <v>44</v>
      </c>
      <c r="C21" s="197">
        <v>257</v>
      </c>
      <c r="D21" s="25">
        <v>186</v>
      </c>
      <c r="E21" s="25">
        <v>157</v>
      </c>
      <c r="F21" s="42">
        <v>110</v>
      </c>
      <c r="G21" s="42">
        <v>83</v>
      </c>
      <c r="H21" s="43"/>
      <c r="I21" s="179">
        <v>0.04</v>
      </c>
      <c r="J21" s="70"/>
      <c r="M21" s="9">
        <f t="shared" si="1"/>
        <v>0.02</v>
      </c>
      <c r="N21" s="9">
        <f t="shared" si="2"/>
        <v>0.03</v>
      </c>
      <c r="O21" s="38">
        <f t="shared" si="3"/>
        <v>0.04</v>
      </c>
      <c r="Q21" s="174">
        <f t="shared" si="4"/>
        <v>0.04</v>
      </c>
    </row>
    <row r="22" spans="2:17" outlineLevel="2" x14ac:dyDescent="0.35">
      <c r="B22" s="23" t="s">
        <v>45</v>
      </c>
      <c r="C22" s="197">
        <v>28</v>
      </c>
      <c r="D22" s="25">
        <v>21</v>
      </c>
      <c r="E22" s="25">
        <v>18</v>
      </c>
      <c r="F22" s="42">
        <v>12</v>
      </c>
      <c r="G22" s="42">
        <v>9</v>
      </c>
      <c r="H22" s="43"/>
      <c r="I22" s="179">
        <v>0</v>
      </c>
      <c r="J22" s="70"/>
      <c r="M22" s="9">
        <f t="shared" si="1"/>
        <v>0</v>
      </c>
      <c r="N22" s="9">
        <f t="shared" si="2"/>
        <v>0</v>
      </c>
      <c r="O22" s="38">
        <f t="shared" si="3"/>
        <v>0</v>
      </c>
      <c r="Q22" s="174">
        <f t="shared" si="4"/>
        <v>0</v>
      </c>
    </row>
    <row r="23" spans="2:17" outlineLevel="2" x14ac:dyDescent="0.35">
      <c r="B23" s="23" t="s">
        <v>46</v>
      </c>
      <c r="C23" s="197">
        <v>31</v>
      </c>
      <c r="D23" s="25">
        <v>22</v>
      </c>
      <c r="E23" s="25">
        <v>19</v>
      </c>
      <c r="F23" s="42">
        <v>13</v>
      </c>
      <c r="G23" s="42">
        <v>10</v>
      </c>
      <c r="H23" s="43"/>
      <c r="I23" s="179">
        <v>0</v>
      </c>
      <c r="J23" s="70"/>
      <c r="M23" s="9">
        <f t="shared" si="1"/>
        <v>0</v>
      </c>
      <c r="N23" s="9">
        <f t="shared" si="2"/>
        <v>0</v>
      </c>
      <c r="O23" s="38">
        <f t="shared" si="3"/>
        <v>0</v>
      </c>
      <c r="Q23" s="174">
        <f t="shared" si="4"/>
        <v>0</v>
      </c>
    </row>
    <row r="24" spans="2:17" outlineLevel="2" x14ac:dyDescent="0.35">
      <c r="B24" s="23" t="s">
        <v>47</v>
      </c>
      <c r="C24" s="197">
        <v>583</v>
      </c>
      <c r="D24" s="25">
        <v>421</v>
      </c>
      <c r="E24" s="25">
        <v>356</v>
      </c>
      <c r="F24" s="42">
        <v>248</v>
      </c>
      <c r="G24" s="42">
        <v>189</v>
      </c>
      <c r="H24" s="43"/>
      <c r="I24" s="179">
        <v>0</v>
      </c>
      <c r="J24" s="70"/>
      <c r="M24" s="9">
        <f t="shared" si="1"/>
        <v>0</v>
      </c>
      <c r="N24" s="9">
        <f t="shared" si="2"/>
        <v>0</v>
      </c>
      <c r="O24" s="38">
        <f t="shared" si="3"/>
        <v>0</v>
      </c>
      <c r="Q24" s="174">
        <f t="shared" si="4"/>
        <v>0</v>
      </c>
    </row>
    <row r="25" spans="2:17" outlineLevel="2" x14ac:dyDescent="0.35">
      <c r="B25" s="23" t="s">
        <v>48</v>
      </c>
      <c r="C25" s="197">
        <v>261</v>
      </c>
      <c r="D25" s="25">
        <v>188</v>
      </c>
      <c r="E25" s="25">
        <v>159</v>
      </c>
      <c r="F25" s="42">
        <v>111</v>
      </c>
      <c r="G25" s="42">
        <v>84</v>
      </c>
      <c r="H25" s="43"/>
      <c r="I25" s="179">
        <v>0.16</v>
      </c>
      <c r="J25" s="70"/>
      <c r="M25" s="9">
        <f t="shared" si="1"/>
        <v>0.08</v>
      </c>
      <c r="N25" s="9">
        <f t="shared" si="2"/>
        <v>0.12</v>
      </c>
      <c r="O25" s="38">
        <f t="shared" si="3"/>
        <v>0.16</v>
      </c>
      <c r="Q25" s="174">
        <f t="shared" si="4"/>
        <v>0.16</v>
      </c>
    </row>
    <row r="26" spans="2:17" outlineLevel="2" x14ac:dyDescent="0.35">
      <c r="B26" s="23" t="s">
        <v>49</v>
      </c>
      <c r="C26" s="197">
        <v>366</v>
      </c>
      <c r="D26" s="25">
        <v>264</v>
      </c>
      <c r="E26" s="25">
        <v>223</v>
      </c>
      <c r="F26" s="42">
        <v>156</v>
      </c>
      <c r="G26" s="42">
        <v>118</v>
      </c>
      <c r="H26" s="43"/>
      <c r="I26" s="179">
        <v>0.22</v>
      </c>
      <c r="J26" s="70"/>
      <c r="M26" s="9">
        <f t="shared" si="1"/>
        <v>0.11</v>
      </c>
      <c r="N26" s="9">
        <f t="shared" si="2"/>
        <v>0.16500000000000001</v>
      </c>
      <c r="O26" s="38">
        <f t="shared" si="3"/>
        <v>0.22</v>
      </c>
      <c r="Q26" s="174">
        <f t="shared" si="4"/>
        <v>0.22</v>
      </c>
    </row>
    <row r="27" spans="2:17" outlineLevel="2" x14ac:dyDescent="0.35">
      <c r="B27" s="23" t="s">
        <v>52</v>
      </c>
      <c r="C27" s="197">
        <v>25</v>
      </c>
      <c r="D27" s="25">
        <v>19</v>
      </c>
      <c r="E27" s="25">
        <v>15</v>
      </c>
      <c r="F27" s="42">
        <v>11</v>
      </c>
      <c r="G27" s="42">
        <v>8</v>
      </c>
      <c r="H27" s="43"/>
      <c r="I27" s="179">
        <v>0.01</v>
      </c>
      <c r="J27" s="70"/>
      <c r="M27" s="9">
        <f t="shared" si="1"/>
        <v>5.0000000000000001E-3</v>
      </c>
      <c r="N27" s="9">
        <f t="shared" si="2"/>
        <v>7.4999999999999997E-3</v>
      </c>
      <c r="O27" s="38">
        <f t="shared" si="3"/>
        <v>0.01</v>
      </c>
      <c r="Q27" s="174">
        <f t="shared" si="4"/>
        <v>0.01</v>
      </c>
    </row>
    <row r="28" spans="2:17" outlineLevel="2" x14ac:dyDescent="0.35">
      <c r="B28" s="309" t="s">
        <v>385</v>
      </c>
      <c r="C28" s="197">
        <v>24</v>
      </c>
      <c r="D28" s="25">
        <v>18</v>
      </c>
      <c r="E28" s="25">
        <v>14</v>
      </c>
      <c r="F28" s="42">
        <v>10</v>
      </c>
      <c r="G28" s="42">
        <v>8</v>
      </c>
      <c r="H28" s="43"/>
      <c r="I28" s="179">
        <v>0.02</v>
      </c>
      <c r="J28" s="70"/>
      <c r="M28" s="9">
        <f t="shared" si="1"/>
        <v>0.01</v>
      </c>
      <c r="N28" s="9">
        <f t="shared" si="2"/>
        <v>1.4999999999999999E-2</v>
      </c>
      <c r="O28" s="38">
        <f t="shared" si="3"/>
        <v>0.02</v>
      </c>
      <c r="Q28" s="174">
        <f t="shared" si="4"/>
        <v>0.02</v>
      </c>
    </row>
    <row r="29" spans="2:17" outlineLevel="1" x14ac:dyDescent="0.35">
      <c r="B29" s="15"/>
      <c r="C29" s="197"/>
      <c r="H29" s="32"/>
      <c r="J29" s="70"/>
      <c r="Q29" s="71"/>
    </row>
    <row r="30" spans="2:17" s="4" customFormat="1" x14ac:dyDescent="0.35">
      <c r="B30" s="26" t="s">
        <v>57</v>
      </c>
      <c r="C30" s="196">
        <f>SUM(C31:C34)</f>
        <v>20909</v>
      </c>
      <c r="D30" s="27">
        <f>SUM(D31:D34)</f>
        <v>15112</v>
      </c>
      <c r="E30" s="27">
        <f>SUM(E31:E34)</f>
        <v>12767</v>
      </c>
      <c r="F30" s="27">
        <f>SUM(F31:F34)</f>
        <v>8881</v>
      </c>
      <c r="G30" s="27">
        <f>SUM(G31:G34)</f>
        <v>6785</v>
      </c>
      <c r="H30" s="51" t="s">
        <v>79</v>
      </c>
      <c r="I30" s="39">
        <f t="shared" ref="I30:Q30" si="5">SUM(I31:I34)</f>
        <v>9.2100000000000009</v>
      </c>
      <c r="J30" s="188">
        <f>SUM(J31:J34)</f>
        <v>6.2574999999999994</v>
      </c>
      <c r="K30" s="39">
        <f t="shared" si="5"/>
        <v>0</v>
      </c>
      <c r="L30" s="39">
        <f t="shared" si="5"/>
        <v>6.6099999999999994</v>
      </c>
      <c r="M30" s="39">
        <f t="shared" si="5"/>
        <v>4.6050000000000004</v>
      </c>
      <c r="N30" s="39">
        <f t="shared" si="5"/>
        <v>6.9074999999999998</v>
      </c>
      <c r="O30" s="39">
        <f t="shared" si="5"/>
        <v>9.2100000000000009</v>
      </c>
      <c r="P30" s="39">
        <f t="shared" si="5"/>
        <v>0</v>
      </c>
      <c r="Q30" s="191">
        <f t="shared" si="5"/>
        <v>9.2100000000000009</v>
      </c>
    </row>
    <row r="31" spans="2:17" outlineLevel="1" x14ac:dyDescent="0.35">
      <c r="B31" s="23" t="s">
        <v>53</v>
      </c>
      <c r="C31" s="197">
        <v>4603</v>
      </c>
      <c r="D31" s="41">
        <v>3327</v>
      </c>
      <c r="E31" s="41">
        <v>2811</v>
      </c>
      <c r="F31" s="42">
        <v>1955</v>
      </c>
      <c r="G31" s="42">
        <v>1493</v>
      </c>
      <c r="H31" s="43"/>
      <c r="I31" s="179">
        <v>2.6</v>
      </c>
      <c r="J31" s="201">
        <v>0</v>
      </c>
      <c r="K31" s="38"/>
      <c r="L31" s="200">
        <v>0</v>
      </c>
      <c r="M31" s="9">
        <f>I31*0.5</f>
        <v>1.3</v>
      </c>
      <c r="N31" s="9">
        <f>I31*0.75</f>
        <v>1.9500000000000002</v>
      </c>
      <c r="O31" s="38">
        <f>I31</f>
        <v>2.6</v>
      </c>
      <c r="Q31" s="174">
        <f>I31</f>
        <v>2.6</v>
      </c>
    </row>
    <row r="32" spans="2:17" outlineLevel="1" x14ac:dyDescent="0.35">
      <c r="B32" s="23" t="s">
        <v>54</v>
      </c>
      <c r="C32" s="197">
        <v>4090</v>
      </c>
      <c r="D32" s="42">
        <v>2956</v>
      </c>
      <c r="E32" s="42">
        <v>2497</v>
      </c>
      <c r="F32" s="42">
        <v>1737</v>
      </c>
      <c r="G32" s="42">
        <v>1328</v>
      </c>
      <c r="H32" s="43"/>
      <c r="I32" s="179">
        <v>2.2999999999999998</v>
      </c>
      <c r="J32" s="187">
        <f>I32</f>
        <v>2.2999999999999998</v>
      </c>
      <c r="K32" s="38"/>
      <c r="L32" s="38">
        <f>I32</f>
        <v>2.2999999999999998</v>
      </c>
      <c r="M32" s="9">
        <f>I32*0.5</f>
        <v>1.1499999999999999</v>
      </c>
      <c r="N32" s="9">
        <f>I32*0.75</f>
        <v>1.7249999999999999</v>
      </c>
      <c r="O32" s="38">
        <f>I32</f>
        <v>2.2999999999999998</v>
      </c>
      <c r="Q32" s="174">
        <f>I32</f>
        <v>2.2999999999999998</v>
      </c>
    </row>
    <row r="33" spans="2:17" outlineLevel="1" x14ac:dyDescent="0.35">
      <c r="B33" s="23" t="s">
        <v>55</v>
      </c>
      <c r="C33" s="197">
        <v>5151</v>
      </c>
      <c r="D33" s="42">
        <v>3723</v>
      </c>
      <c r="E33" s="42">
        <v>3146</v>
      </c>
      <c r="F33" s="42">
        <v>2188</v>
      </c>
      <c r="G33" s="42">
        <v>1671</v>
      </c>
      <c r="H33" s="43"/>
      <c r="I33" s="179">
        <v>2.9</v>
      </c>
      <c r="J33" s="187">
        <f>I33</f>
        <v>2.9</v>
      </c>
      <c r="K33" s="38"/>
      <c r="L33" s="38">
        <f>I33</f>
        <v>2.9</v>
      </c>
      <c r="M33" s="9">
        <f>I33*0.5</f>
        <v>1.45</v>
      </c>
      <c r="N33" s="9">
        <f>I33*0.75</f>
        <v>2.1749999999999998</v>
      </c>
      <c r="O33" s="38">
        <f>I33</f>
        <v>2.9</v>
      </c>
      <c r="Q33" s="174">
        <f>I33</f>
        <v>2.9</v>
      </c>
    </row>
    <row r="34" spans="2:17" ht="29" outlineLevel="1" x14ac:dyDescent="0.35">
      <c r="B34" s="65" t="s">
        <v>59</v>
      </c>
      <c r="C34" s="197">
        <v>7065</v>
      </c>
      <c r="D34" s="42">
        <v>5106</v>
      </c>
      <c r="E34" s="42">
        <v>4313</v>
      </c>
      <c r="F34" s="42">
        <v>3001</v>
      </c>
      <c r="G34" s="42">
        <v>2293</v>
      </c>
      <c r="H34" s="43"/>
      <c r="I34" s="185">
        <v>1.41</v>
      </c>
      <c r="J34" s="187">
        <f>I34*0.75</f>
        <v>1.0574999999999999</v>
      </c>
      <c r="K34" s="38"/>
      <c r="L34" s="38">
        <f>I34</f>
        <v>1.41</v>
      </c>
      <c r="M34" s="9">
        <f>I34*0.5</f>
        <v>0.70499999999999996</v>
      </c>
      <c r="N34" s="9">
        <f>I34*0.75</f>
        <v>1.0574999999999999</v>
      </c>
      <c r="O34" s="38">
        <f>I34</f>
        <v>1.41</v>
      </c>
      <c r="Q34" s="174">
        <f>I34</f>
        <v>1.41</v>
      </c>
    </row>
    <row r="35" spans="2:17" x14ac:dyDescent="0.35">
      <c r="B35" s="296"/>
      <c r="C35" s="197"/>
      <c r="F35" s="42"/>
      <c r="H35" s="32"/>
      <c r="J35" s="70"/>
      <c r="Q35" s="71"/>
    </row>
    <row r="36" spans="2:17" s="4" customFormat="1" x14ac:dyDescent="0.35">
      <c r="B36" s="26" t="s">
        <v>58</v>
      </c>
      <c r="C36" s="196">
        <f>SUM(C37:C40)</f>
        <v>20909</v>
      </c>
      <c r="D36" s="27">
        <f>SUM(D37:D40)</f>
        <v>15112</v>
      </c>
      <c r="E36" s="27">
        <f>SUM(E37:E40)</f>
        <v>12767</v>
      </c>
      <c r="F36" s="27">
        <f>SUM(F37:F40)</f>
        <v>8881</v>
      </c>
      <c r="G36" s="27">
        <f>SUM(G37:G40)</f>
        <v>6785</v>
      </c>
      <c r="H36" s="51" t="s">
        <v>79</v>
      </c>
      <c r="I36" s="39">
        <f t="shared" ref="I36:Q36" si="6">SUM(I37:I40)</f>
        <v>9.2100000000000009</v>
      </c>
      <c r="J36" s="188">
        <f>SUM(J37:J40)</f>
        <v>6.6099999999999994</v>
      </c>
      <c r="K36" s="39">
        <f t="shared" si="6"/>
        <v>0</v>
      </c>
      <c r="L36" s="39">
        <f t="shared" si="6"/>
        <v>6.6099999999999994</v>
      </c>
      <c r="M36" s="39">
        <f t="shared" si="6"/>
        <v>4.6050000000000004</v>
      </c>
      <c r="N36" s="39">
        <f t="shared" si="6"/>
        <v>6.9074999999999998</v>
      </c>
      <c r="O36" s="39">
        <f t="shared" si="6"/>
        <v>9.2100000000000009</v>
      </c>
      <c r="P36" s="39">
        <f t="shared" si="6"/>
        <v>0</v>
      </c>
      <c r="Q36" s="191">
        <f t="shared" si="6"/>
        <v>9.2100000000000009</v>
      </c>
    </row>
    <row r="37" spans="2:17" outlineLevel="1" x14ac:dyDescent="0.35">
      <c r="B37" s="23" t="s">
        <v>53</v>
      </c>
      <c r="C37" s="197">
        <v>4603</v>
      </c>
      <c r="D37" s="41">
        <v>3327</v>
      </c>
      <c r="E37" s="41">
        <v>2811</v>
      </c>
      <c r="F37" s="41">
        <v>1955</v>
      </c>
      <c r="G37" s="41">
        <v>1493</v>
      </c>
      <c r="H37" s="44"/>
      <c r="I37" s="179">
        <v>2.6</v>
      </c>
      <c r="J37" s="201">
        <v>0</v>
      </c>
      <c r="K37" s="38"/>
      <c r="L37" s="200">
        <v>0</v>
      </c>
      <c r="M37" s="9">
        <f>I37*0.5</f>
        <v>1.3</v>
      </c>
      <c r="N37" s="9">
        <f>I37*0.75</f>
        <v>1.9500000000000002</v>
      </c>
      <c r="O37" s="38">
        <f>I37</f>
        <v>2.6</v>
      </c>
      <c r="Q37" s="174">
        <f>I37</f>
        <v>2.6</v>
      </c>
    </row>
    <row r="38" spans="2:17" outlineLevel="1" x14ac:dyDescent="0.35">
      <c r="B38" s="23" t="s">
        <v>54</v>
      </c>
      <c r="C38" s="197">
        <v>4090</v>
      </c>
      <c r="D38" s="41">
        <v>2956</v>
      </c>
      <c r="E38" s="41">
        <v>2497</v>
      </c>
      <c r="F38" s="41">
        <v>1737</v>
      </c>
      <c r="G38" s="41">
        <v>1328</v>
      </c>
      <c r="H38" s="44"/>
      <c r="I38" s="179">
        <v>2.2999999999999998</v>
      </c>
      <c r="J38" s="187">
        <f>I38</f>
        <v>2.2999999999999998</v>
      </c>
      <c r="K38" s="38"/>
      <c r="L38" s="38">
        <f>I38</f>
        <v>2.2999999999999998</v>
      </c>
      <c r="M38" s="9">
        <f>I38*0.5</f>
        <v>1.1499999999999999</v>
      </c>
      <c r="N38" s="9">
        <f>I38*0.75</f>
        <v>1.7249999999999999</v>
      </c>
      <c r="O38" s="38">
        <f>I38</f>
        <v>2.2999999999999998</v>
      </c>
      <c r="Q38" s="174">
        <f>I38</f>
        <v>2.2999999999999998</v>
      </c>
    </row>
    <row r="39" spans="2:17" outlineLevel="1" x14ac:dyDescent="0.35">
      <c r="B39" s="23" t="s">
        <v>55</v>
      </c>
      <c r="C39" s="197">
        <v>5151</v>
      </c>
      <c r="D39" s="41">
        <v>3723</v>
      </c>
      <c r="E39" s="41">
        <v>3146</v>
      </c>
      <c r="F39" s="41">
        <v>2188</v>
      </c>
      <c r="G39" s="41">
        <v>1671</v>
      </c>
      <c r="H39" s="44"/>
      <c r="I39" s="179">
        <v>2.9</v>
      </c>
      <c r="J39" s="187">
        <f>I39</f>
        <v>2.9</v>
      </c>
      <c r="K39" s="38"/>
      <c r="L39" s="38">
        <f>I39</f>
        <v>2.9</v>
      </c>
      <c r="M39" s="9">
        <f>I39*0.5</f>
        <v>1.45</v>
      </c>
      <c r="N39" s="9">
        <f>I39*0.75</f>
        <v>2.1749999999999998</v>
      </c>
      <c r="O39" s="38">
        <f>I39</f>
        <v>2.9</v>
      </c>
      <c r="Q39" s="174">
        <f>I39</f>
        <v>2.9</v>
      </c>
    </row>
    <row r="40" spans="2:17" ht="29" outlineLevel="1" x14ac:dyDescent="0.35">
      <c r="B40" s="65" t="s">
        <v>60</v>
      </c>
      <c r="C40" s="197">
        <v>7065</v>
      </c>
      <c r="D40" s="41">
        <v>5106</v>
      </c>
      <c r="E40" s="41">
        <v>4313</v>
      </c>
      <c r="F40" s="41">
        <v>3001</v>
      </c>
      <c r="G40" s="41">
        <v>2293</v>
      </c>
      <c r="H40" s="44"/>
      <c r="I40" s="179">
        <v>1.41</v>
      </c>
      <c r="J40" s="187">
        <f>I40</f>
        <v>1.41</v>
      </c>
      <c r="K40" s="38"/>
      <c r="L40" s="38">
        <f>I40</f>
        <v>1.41</v>
      </c>
      <c r="M40" s="9">
        <f>I40*0.5</f>
        <v>0.70499999999999996</v>
      </c>
      <c r="N40" s="9">
        <f>I40*0.75</f>
        <v>1.0574999999999999</v>
      </c>
      <c r="O40" s="38">
        <f>I40</f>
        <v>1.41</v>
      </c>
      <c r="Q40" s="174">
        <f>I40</f>
        <v>1.41</v>
      </c>
    </row>
    <row r="41" spans="2:17" x14ac:dyDescent="0.35">
      <c r="B41" s="15"/>
      <c r="C41" s="70"/>
      <c r="H41" s="32"/>
      <c r="J41" s="70"/>
      <c r="Q41" s="71"/>
    </row>
    <row r="42" spans="2:17" x14ac:dyDescent="0.35">
      <c r="B42" s="15"/>
      <c r="C42" s="70"/>
      <c r="H42" s="32"/>
      <c r="J42" s="70"/>
      <c r="Q42" s="71"/>
    </row>
    <row r="43" spans="2:17" ht="15.5" x14ac:dyDescent="0.35">
      <c r="B43" s="195" t="s">
        <v>24</v>
      </c>
      <c r="C43" s="70"/>
      <c r="G43" s="71"/>
      <c r="H43" s="32"/>
      <c r="J43" s="70"/>
      <c r="Q43" s="71"/>
    </row>
    <row r="44" spans="2:17" x14ac:dyDescent="0.35">
      <c r="B44" s="6" t="s">
        <v>25</v>
      </c>
      <c r="C44" s="198">
        <v>252</v>
      </c>
      <c r="D44" s="75">
        <v>180</v>
      </c>
      <c r="E44" s="75">
        <v>156</v>
      </c>
      <c r="F44" s="76">
        <v>104</v>
      </c>
      <c r="G44" s="77">
        <v>82</v>
      </c>
      <c r="H44" s="32"/>
      <c r="I44" s="293">
        <v>0</v>
      </c>
      <c r="J44" s="179">
        <v>0</v>
      </c>
      <c r="K44" s="179">
        <v>0</v>
      </c>
      <c r="L44" s="179">
        <v>0</v>
      </c>
      <c r="M44" s="9">
        <v>0</v>
      </c>
      <c r="N44" s="9">
        <v>0</v>
      </c>
      <c r="O44" s="183">
        <v>0</v>
      </c>
      <c r="P44" s="183">
        <v>0</v>
      </c>
      <c r="Q44" s="192">
        <v>0</v>
      </c>
    </row>
    <row r="45" spans="2:17" x14ac:dyDescent="0.35">
      <c r="B45" s="6" t="s">
        <v>26</v>
      </c>
      <c r="C45" s="198">
        <v>1039</v>
      </c>
      <c r="D45" s="75">
        <v>1039</v>
      </c>
      <c r="E45" s="75">
        <v>1039</v>
      </c>
      <c r="F45" s="76">
        <v>1039</v>
      </c>
      <c r="G45" s="77">
        <v>1039</v>
      </c>
      <c r="H45" s="32"/>
      <c r="I45" s="71">
        <v>0.39</v>
      </c>
      <c r="J45" s="9">
        <v>0.5</v>
      </c>
      <c r="K45" s="9">
        <v>0</v>
      </c>
      <c r="L45" s="9">
        <v>0.5</v>
      </c>
      <c r="M45" s="9">
        <v>0.5</v>
      </c>
      <c r="N45" s="9">
        <v>0.5</v>
      </c>
      <c r="O45" s="9">
        <v>0.5</v>
      </c>
      <c r="P45" s="9">
        <v>0.5</v>
      </c>
      <c r="Q45" s="193">
        <v>0.5</v>
      </c>
    </row>
    <row r="46" spans="2:17" x14ac:dyDescent="0.35">
      <c r="B46" s="6" t="s">
        <v>27</v>
      </c>
      <c r="C46" s="198">
        <v>885</v>
      </c>
      <c r="D46" s="75">
        <v>885</v>
      </c>
      <c r="E46" s="75">
        <v>885</v>
      </c>
      <c r="F46" s="76">
        <v>885</v>
      </c>
      <c r="G46" s="77">
        <v>885</v>
      </c>
      <c r="H46" s="32"/>
      <c r="I46" s="71">
        <v>0.34</v>
      </c>
      <c r="J46" s="9">
        <v>0.35</v>
      </c>
      <c r="K46" s="9">
        <v>0</v>
      </c>
      <c r="L46" s="9">
        <v>0.35</v>
      </c>
      <c r="M46" s="9">
        <v>0.35</v>
      </c>
      <c r="N46" s="9">
        <v>0.35</v>
      </c>
      <c r="O46" s="9">
        <v>0.35</v>
      </c>
      <c r="P46" s="9">
        <v>0.35</v>
      </c>
      <c r="Q46" s="193">
        <v>0.35</v>
      </c>
    </row>
    <row r="47" spans="2:17" x14ac:dyDescent="0.35">
      <c r="B47" s="15"/>
      <c r="C47" s="70"/>
      <c r="H47" s="32"/>
      <c r="I47" s="71"/>
      <c r="Q47" s="71"/>
    </row>
    <row r="48" spans="2:17" x14ac:dyDescent="0.35">
      <c r="B48" s="15"/>
      <c r="C48" s="70"/>
      <c r="H48" s="32"/>
      <c r="J48" s="70"/>
      <c r="Q48" s="71"/>
    </row>
    <row r="49" spans="2:17" s="4" customFormat="1" ht="29" x14ac:dyDescent="0.35">
      <c r="B49" s="66" t="s">
        <v>157</v>
      </c>
      <c r="C49" s="199">
        <f>+C8+C30</f>
        <v>38318</v>
      </c>
      <c r="D49" s="28">
        <f>+D8+D30</f>
        <v>27695</v>
      </c>
      <c r="E49" s="28">
        <f>+E8+E30</f>
        <v>23396</v>
      </c>
      <c r="F49" s="28">
        <f>+F8+F30</f>
        <v>16277</v>
      </c>
      <c r="G49" s="28">
        <f>+G8+G30</f>
        <v>12431</v>
      </c>
      <c r="H49" s="35">
        <f>+H8</f>
        <v>6.278999999999999</v>
      </c>
      <c r="I49" s="31">
        <f>+I8+I30</f>
        <v>20.54</v>
      </c>
      <c r="J49" s="189">
        <f>J10+J30</f>
        <v>12.529399999999999</v>
      </c>
      <c r="K49" s="31">
        <f>+K8+K30</f>
        <v>0</v>
      </c>
      <c r="L49" s="31">
        <f>L10+L30</f>
        <v>12.881899999999998</v>
      </c>
      <c r="M49" s="31">
        <f>+M8+M30</f>
        <v>10.27</v>
      </c>
      <c r="N49" s="31">
        <f>+N8+N30</f>
        <v>15.404999999999998</v>
      </c>
      <c r="O49" s="31">
        <f>+O8+O30</f>
        <v>20.54</v>
      </c>
      <c r="P49" s="31">
        <f>+P8+P30</f>
        <v>0</v>
      </c>
      <c r="Q49" s="194">
        <f>+Q8+Q30</f>
        <v>20.54</v>
      </c>
    </row>
    <row r="50" spans="2:17" s="4" customFormat="1" ht="29" x14ac:dyDescent="0.35">
      <c r="B50" s="66" t="s">
        <v>158</v>
      </c>
      <c r="C50" s="199">
        <f>+C8+C36</f>
        <v>38318</v>
      </c>
      <c r="D50" s="28">
        <f>+D8+D36</f>
        <v>27695</v>
      </c>
      <c r="E50" s="28">
        <f>+E8+E36</f>
        <v>23396</v>
      </c>
      <c r="F50" s="28">
        <f>+F8+F36</f>
        <v>16277</v>
      </c>
      <c r="G50" s="28">
        <f>+G8+G36</f>
        <v>12431</v>
      </c>
      <c r="H50" s="35">
        <f>+H8</f>
        <v>6.278999999999999</v>
      </c>
      <c r="I50" s="31">
        <f>+I8+I36</f>
        <v>20.54</v>
      </c>
      <c r="J50" s="189">
        <f>J11+J36-0.01</f>
        <v>12.519399999999999</v>
      </c>
      <c r="K50" s="31">
        <f>+K8+K36</f>
        <v>0</v>
      </c>
      <c r="L50" s="31">
        <f>L11+L36-0.01</f>
        <v>12.519399999999999</v>
      </c>
      <c r="M50" s="31">
        <f>+M8+M36</f>
        <v>10.27</v>
      </c>
      <c r="N50" s="31">
        <f>+N8+N36</f>
        <v>15.404999999999998</v>
      </c>
      <c r="O50" s="31">
        <f>+O8+O36</f>
        <v>20.54</v>
      </c>
      <c r="P50" s="31">
        <f>+P8+P36</f>
        <v>0</v>
      </c>
      <c r="Q50" s="194">
        <f>+Q8+Q36</f>
        <v>20.54</v>
      </c>
    </row>
    <row r="51" spans="2:17" x14ac:dyDescent="0.35">
      <c r="B51" s="15"/>
      <c r="C51" s="70"/>
      <c r="H51" s="32"/>
      <c r="J51" s="70"/>
      <c r="Q51" s="71"/>
    </row>
    <row r="52" spans="2:17" x14ac:dyDescent="0.35">
      <c r="C52" s="70"/>
      <c r="H52" s="32"/>
      <c r="J52" s="70"/>
      <c r="Q52" s="71"/>
    </row>
    <row r="53" spans="2:17" ht="15.5" x14ac:dyDescent="0.35">
      <c r="B53" s="61" t="s">
        <v>28</v>
      </c>
      <c r="C53" s="197"/>
      <c r="D53" s="41"/>
      <c r="E53" s="41"/>
      <c r="F53" s="41"/>
      <c r="G53" s="41"/>
      <c r="H53" s="32"/>
      <c r="J53" s="70"/>
      <c r="Q53" s="71"/>
    </row>
    <row r="54" spans="2:17" x14ac:dyDescent="0.35">
      <c r="B54" t="s">
        <v>29</v>
      </c>
      <c r="C54" s="197">
        <v>1588</v>
      </c>
      <c r="D54" s="41">
        <v>1147</v>
      </c>
      <c r="E54" s="41">
        <v>970</v>
      </c>
      <c r="F54" s="42">
        <v>674</v>
      </c>
      <c r="G54" s="42">
        <v>515</v>
      </c>
      <c r="H54" s="32"/>
      <c r="I54" s="63">
        <v>1.0900000000000001</v>
      </c>
      <c r="J54" s="109">
        <v>1.04</v>
      </c>
      <c r="L54" s="63">
        <v>1.04</v>
      </c>
      <c r="M54" s="63">
        <v>1.04</v>
      </c>
      <c r="N54" s="63">
        <v>1.04</v>
      </c>
      <c r="O54" s="63">
        <v>1.04</v>
      </c>
      <c r="P54" s="179">
        <v>0</v>
      </c>
      <c r="Q54" s="111">
        <v>1.04</v>
      </c>
    </row>
    <row r="55" spans="2:17" x14ac:dyDescent="0.35">
      <c r="C55" s="25"/>
      <c r="D55" s="41"/>
      <c r="E55" s="41"/>
      <c r="F55" s="42"/>
      <c r="G55" s="42"/>
      <c r="I55" s="63"/>
      <c r="J55" s="63"/>
      <c r="L55" s="63"/>
      <c r="M55" s="63"/>
      <c r="N55" s="63"/>
      <c r="O55" s="63"/>
      <c r="P55" s="179"/>
      <c r="Q55" s="63"/>
    </row>
    <row r="56" spans="2:17" x14ac:dyDescent="0.35">
      <c r="C56" s="25"/>
      <c r="D56" s="25"/>
      <c r="E56" s="25"/>
      <c r="F56" s="25"/>
      <c r="G56" s="25"/>
      <c r="H56" s="25"/>
      <c r="I56" s="25"/>
      <c r="J56" s="63"/>
      <c r="L56" s="63"/>
      <c r="M56" s="63"/>
      <c r="N56" s="63"/>
      <c r="O56" s="63"/>
      <c r="P56" s="179"/>
      <c r="Q56" s="63"/>
    </row>
    <row r="57" spans="2:17" x14ac:dyDescent="0.35">
      <c r="C57" s="25"/>
      <c r="D57" s="25"/>
      <c r="E57" s="25"/>
      <c r="F57" s="25"/>
      <c r="G57" s="25"/>
      <c r="H57" s="25"/>
      <c r="I57" s="25"/>
      <c r="J57" s="63"/>
      <c r="L57" s="63"/>
      <c r="M57" s="63"/>
      <c r="N57" s="63"/>
      <c r="O57" s="63"/>
      <c r="P57" s="179"/>
      <c r="Q57" s="63"/>
    </row>
    <row r="58" spans="2:17" x14ac:dyDescent="0.35">
      <c r="C58" s="25"/>
      <c r="D58" s="41"/>
      <c r="E58" s="41"/>
      <c r="F58" s="42"/>
      <c r="G58" s="42"/>
      <c r="I58" s="63"/>
      <c r="J58" s="63"/>
      <c r="L58" s="63"/>
      <c r="M58" s="63"/>
      <c r="N58" s="63"/>
      <c r="O58" s="63"/>
      <c r="P58" s="179"/>
      <c r="Q58" s="63"/>
    </row>
    <row r="59" spans="2:17" x14ac:dyDescent="0.35">
      <c r="C59" s="25"/>
      <c r="D59" s="41"/>
      <c r="E59" s="41"/>
      <c r="F59" s="42"/>
      <c r="G59" s="42"/>
      <c r="I59" s="63"/>
      <c r="J59" s="63"/>
      <c r="L59" s="63"/>
      <c r="M59" s="63"/>
      <c r="N59" s="63"/>
      <c r="O59" s="63"/>
      <c r="P59" s="179"/>
      <c r="Q59" s="63"/>
    </row>
    <row r="60" spans="2:17" x14ac:dyDescent="0.35">
      <c r="C60" s="25"/>
      <c r="D60" s="41"/>
      <c r="E60" s="41"/>
      <c r="F60" s="42"/>
      <c r="G60" s="42"/>
      <c r="I60" s="63"/>
      <c r="J60" s="63"/>
      <c r="L60" s="63"/>
      <c r="M60" s="63"/>
      <c r="N60" s="63"/>
      <c r="O60" s="63"/>
      <c r="P60" s="179"/>
      <c r="Q60" s="63"/>
    </row>
    <row r="61" spans="2:17" x14ac:dyDescent="0.35">
      <c r="C61" s="25"/>
      <c r="D61" s="41"/>
      <c r="E61" s="41"/>
      <c r="F61" s="42"/>
      <c r="G61" s="42"/>
      <c r="I61" s="63"/>
      <c r="J61" s="63"/>
      <c r="L61" s="63"/>
      <c r="M61" s="63"/>
      <c r="N61" s="63"/>
      <c r="O61" s="63"/>
      <c r="P61" s="179"/>
      <c r="Q61" s="63"/>
    </row>
    <row r="62" spans="2:17" x14ac:dyDescent="0.35">
      <c r="C62" s="25"/>
      <c r="D62" s="41"/>
      <c r="E62" s="41"/>
      <c r="F62" s="42"/>
      <c r="G62" s="42"/>
      <c r="I62" s="63"/>
      <c r="J62" s="63"/>
      <c r="L62" s="63"/>
      <c r="M62" s="63"/>
      <c r="N62" s="63"/>
      <c r="O62" s="63"/>
      <c r="P62" s="179"/>
      <c r="Q62" s="63"/>
    </row>
    <row r="63" spans="2:17" x14ac:dyDescent="0.35">
      <c r="C63" s="25"/>
      <c r="D63" s="41"/>
      <c r="E63" s="41"/>
      <c r="F63" s="42"/>
      <c r="G63" s="42"/>
      <c r="I63" s="63"/>
      <c r="J63" s="63"/>
      <c r="L63" s="63"/>
      <c r="M63" s="63"/>
      <c r="N63" s="63"/>
      <c r="O63" s="63"/>
      <c r="P63" s="179"/>
      <c r="Q63" s="63"/>
    </row>
    <row r="64" spans="2:17" x14ac:dyDescent="0.35">
      <c r="C64" s="25"/>
      <c r="D64" s="41"/>
      <c r="E64" s="41"/>
      <c r="F64" s="42"/>
      <c r="G64" s="42"/>
      <c r="I64" s="63"/>
      <c r="J64" s="63"/>
      <c r="L64" s="63"/>
      <c r="M64" s="63"/>
      <c r="N64" s="63"/>
      <c r="O64" s="63"/>
      <c r="P64" s="179"/>
      <c r="Q64" s="63"/>
    </row>
    <row r="65" spans="3:17" x14ac:dyDescent="0.35">
      <c r="C65" s="25"/>
      <c r="D65" s="41"/>
      <c r="E65" s="41"/>
      <c r="F65" s="42"/>
      <c r="G65" s="42"/>
      <c r="I65" s="63"/>
      <c r="J65" s="63"/>
      <c r="L65" s="63"/>
      <c r="M65" s="63"/>
      <c r="N65" s="63"/>
      <c r="O65" s="63"/>
      <c r="P65" s="179"/>
      <c r="Q65" s="63"/>
    </row>
    <row r="66" spans="3:17" x14ac:dyDescent="0.35">
      <c r="C66" s="25"/>
      <c r="D66" s="41"/>
      <c r="E66" s="41"/>
      <c r="F66" s="42"/>
      <c r="G66" s="42"/>
      <c r="I66" s="63"/>
      <c r="J66" s="63"/>
      <c r="L66" s="63"/>
      <c r="M66" s="63"/>
      <c r="N66" s="63"/>
      <c r="O66" s="63"/>
      <c r="P66" s="179"/>
      <c r="Q66" s="63"/>
    </row>
    <row r="67" spans="3:17" x14ac:dyDescent="0.35">
      <c r="C67" s="25"/>
      <c r="D67" s="41"/>
      <c r="E67" s="41"/>
      <c r="F67" s="42"/>
      <c r="G67" s="42"/>
      <c r="I67" s="63"/>
      <c r="J67" s="63"/>
      <c r="L67" s="63"/>
      <c r="M67" s="63"/>
      <c r="N67" s="63"/>
      <c r="O67" s="63"/>
      <c r="P67" s="179"/>
      <c r="Q67" s="63"/>
    </row>
    <row r="68" spans="3:17" x14ac:dyDescent="0.35">
      <c r="C68" s="25"/>
      <c r="D68" s="41"/>
      <c r="E68" s="41"/>
      <c r="F68" s="42"/>
      <c r="G68" s="42"/>
      <c r="I68" s="63"/>
      <c r="J68" s="63"/>
      <c r="L68" s="63"/>
      <c r="M68" s="63"/>
      <c r="N68" s="63"/>
      <c r="O68" s="63"/>
      <c r="P68" s="179"/>
      <c r="Q68" s="63"/>
    </row>
    <row r="69" spans="3:17" x14ac:dyDescent="0.35">
      <c r="C69" s="25"/>
      <c r="D69" s="41"/>
      <c r="E69" s="41"/>
      <c r="F69" s="42"/>
      <c r="G69" s="42"/>
      <c r="I69" s="63"/>
      <c r="J69" s="63"/>
      <c r="L69" s="63"/>
      <c r="M69" s="63"/>
      <c r="N69" s="63"/>
      <c r="O69" s="63"/>
      <c r="P69" s="179"/>
      <c r="Q69" s="63"/>
    </row>
    <row r="70" spans="3:17" x14ac:dyDescent="0.35">
      <c r="C70" s="25"/>
      <c r="D70" s="41"/>
      <c r="E70" s="41"/>
      <c r="F70" s="42"/>
      <c r="G70" s="42"/>
      <c r="I70" s="63"/>
      <c r="J70" s="63"/>
      <c r="L70" s="63"/>
      <c r="M70" s="63"/>
      <c r="N70" s="63"/>
      <c r="O70" s="63"/>
      <c r="P70" s="179"/>
      <c r="Q70" s="63"/>
    </row>
    <row r="71" spans="3:17" x14ac:dyDescent="0.35">
      <c r="C71" s="25"/>
      <c r="D71" s="41"/>
      <c r="E71" s="41"/>
      <c r="F71" s="42"/>
      <c r="G71" s="42"/>
      <c r="I71" s="63"/>
      <c r="J71" s="63"/>
      <c r="L71" s="63"/>
      <c r="M71" s="63"/>
      <c r="N71" s="63"/>
      <c r="O71" s="63"/>
      <c r="P71" s="179"/>
      <c r="Q71" s="63"/>
    </row>
    <row r="72" spans="3:17" x14ac:dyDescent="0.35">
      <c r="C72" s="25"/>
      <c r="D72" s="41"/>
      <c r="E72" s="41"/>
      <c r="F72" s="42"/>
      <c r="G72" s="42"/>
      <c r="I72" s="63"/>
      <c r="J72" s="63"/>
      <c r="L72" s="63"/>
      <c r="M72" s="63"/>
      <c r="N72" s="63"/>
      <c r="O72" s="63"/>
      <c r="P72" s="179"/>
      <c r="Q72" s="63"/>
    </row>
    <row r="73" spans="3:17" x14ac:dyDescent="0.35">
      <c r="C73" s="25"/>
      <c r="D73" s="41"/>
      <c r="E73" s="41"/>
      <c r="F73" s="42"/>
      <c r="G73" s="42"/>
      <c r="I73" s="63"/>
      <c r="J73" s="63"/>
      <c r="L73" s="63"/>
      <c r="M73" s="63"/>
      <c r="N73" s="63"/>
      <c r="O73" s="63"/>
      <c r="P73" s="179"/>
      <c r="Q73" s="63"/>
    </row>
    <row r="74" spans="3:17" x14ac:dyDescent="0.35">
      <c r="C74" s="25"/>
      <c r="D74" s="41"/>
      <c r="E74" s="41"/>
      <c r="F74" s="42"/>
      <c r="G74" s="42"/>
      <c r="I74" s="63"/>
      <c r="J74" s="63"/>
      <c r="L74" s="63"/>
      <c r="M74" s="63"/>
      <c r="N74" s="63"/>
      <c r="O74" s="63"/>
      <c r="P74" s="179"/>
      <c r="Q74" s="63"/>
    </row>
    <row r="75" spans="3:17" x14ac:dyDescent="0.35">
      <c r="C75" s="25"/>
      <c r="D75" s="41"/>
      <c r="E75" s="41"/>
      <c r="F75" s="42"/>
      <c r="G75" s="42"/>
      <c r="I75" s="63"/>
      <c r="J75" s="63"/>
      <c r="L75" s="63"/>
      <c r="M75" s="63"/>
      <c r="N75" s="63"/>
      <c r="O75" s="63"/>
      <c r="P75" s="179"/>
      <c r="Q75" s="63"/>
    </row>
    <row r="76" spans="3:17" x14ac:dyDescent="0.35">
      <c r="C76" s="25"/>
      <c r="D76" s="41"/>
      <c r="E76" s="41"/>
      <c r="F76" s="42"/>
      <c r="G76" s="42"/>
      <c r="I76" s="63"/>
      <c r="J76" s="63"/>
      <c r="L76" s="63"/>
      <c r="M76" s="63"/>
      <c r="N76" s="63"/>
      <c r="O76" s="63"/>
      <c r="P76" s="179"/>
      <c r="Q76" s="63"/>
    </row>
    <row r="77" spans="3:17" x14ac:dyDescent="0.35">
      <c r="C77" s="25"/>
      <c r="D77" s="41"/>
      <c r="E77" s="41"/>
      <c r="F77" s="42"/>
      <c r="G77" s="42"/>
      <c r="I77" s="63"/>
      <c r="J77" s="63"/>
      <c r="L77" s="63"/>
      <c r="M77" s="63"/>
      <c r="N77" s="63"/>
      <c r="O77" s="63"/>
      <c r="P77" s="179"/>
      <c r="Q77" s="63"/>
    </row>
    <row r="78" spans="3:17" x14ac:dyDescent="0.35">
      <c r="C78" s="25"/>
      <c r="D78" s="41"/>
      <c r="E78" s="41"/>
      <c r="F78" s="42"/>
      <c r="G78" s="42"/>
      <c r="I78" s="63"/>
      <c r="J78" s="63"/>
      <c r="L78" s="63"/>
      <c r="M78" s="63"/>
      <c r="N78" s="63"/>
      <c r="O78" s="63"/>
      <c r="P78" s="179"/>
      <c r="Q78" s="63"/>
    </row>
    <row r="79" spans="3:17" x14ac:dyDescent="0.35">
      <c r="C79" s="25"/>
      <c r="D79" s="41"/>
      <c r="E79" s="41"/>
      <c r="F79" s="42"/>
      <c r="G79" s="42"/>
      <c r="I79" s="63"/>
      <c r="J79" s="63"/>
      <c r="L79" s="63"/>
      <c r="M79" s="63"/>
      <c r="N79" s="63"/>
      <c r="O79" s="63"/>
      <c r="P79" s="179"/>
      <c r="Q79" s="63"/>
    </row>
    <row r="80" spans="3:17" x14ac:dyDescent="0.35">
      <c r="C80" s="25"/>
      <c r="D80" s="41"/>
      <c r="E80" s="41"/>
      <c r="F80" s="42"/>
      <c r="G80" s="42"/>
      <c r="I80" s="63"/>
      <c r="J80" s="63"/>
      <c r="L80" s="63"/>
      <c r="M80" s="63"/>
      <c r="N80" s="63"/>
      <c r="O80" s="63"/>
      <c r="P80" s="179"/>
      <c r="Q80" s="63"/>
    </row>
    <row r="81" spans="3:17" x14ac:dyDescent="0.35">
      <c r="C81" s="25"/>
      <c r="D81" s="41"/>
      <c r="E81" s="41"/>
      <c r="F81" s="42"/>
      <c r="G81" s="42"/>
      <c r="I81" s="63"/>
      <c r="J81" s="63"/>
      <c r="L81" s="63"/>
      <c r="M81" s="63"/>
      <c r="N81" s="63"/>
      <c r="O81" s="63"/>
      <c r="P81" s="179"/>
      <c r="Q81" s="63"/>
    </row>
    <row r="82" spans="3:17" x14ac:dyDescent="0.35">
      <c r="C82" s="25"/>
      <c r="D82" s="41"/>
      <c r="E82" s="41"/>
      <c r="F82" s="42"/>
      <c r="G82" s="42"/>
      <c r="I82" s="63"/>
      <c r="J82" s="63"/>
      <c r="L82" s="63"/>
      <c r="M82" s="63"/>
      <c r="N82" s="63"/>
      <c r="O82" s="63"/>
      <c r="P82" s="179"/>
      <c r="Q82" s="63"/>
    </row>
    <row r="83" spans="3:17" x14ac:dyDescent="0.35">
      <c r="C83" s="25"/>
      <c r="D83" s="41"/>
      <c r="E83" s="41"/>
      <c r="F83" s="42"/>
      <c r="G83" s="42"/>
      <c r="I83" s="63"/>
      <c r="J83" s="63"/>
      <c r="L83" s="63"/>
      <c r="M83" s="63"/>
      <c r="N83" s="63"/>
      <c r="O83" s="63"/>
      <c r="P83" s="179"/>
      <c r="Q83" s="63"/>
    </row>
    <row r="84" spans="3:17" x14ac:dyDescent="0.35">
      <c r="C84" s="25"/>
      <c r="D84" s="41"/>
      <c r="E84" s="41"/>
      <c r="F84" s="42"/>
      <c r="G84" s="42"/>
      <c r="I84" s="63"/>
      <c r="J84" s="63"/>
      <c r="L84" s="63"/>
      <c r="M84" s="63"/>
      <c r="N84" s="63"/>
      <c r="O84" s="63"/>
      <c r="P84" s="179"/>
      <c r="Q84" s="63"/>
    </row>
    <row r="85" spans="3:17" x14ac:dyDescent="0.35">
      <c r="C85" s="25"/>
      <c r="D85" s="41"/>
      <c r="E85" s="41"/>
      <c r="F85" s="42"/>
      <c r="G85" s="42"/>
      <c r="I85" s="63"/>
      <c r="J85" s="63"/>
      <c r="L85" s="63"/>
      <c r="M85" s="63"/>
      <c r="N85" s="63"/>
      <c r="O85" s="63"/>
      <c r="P85" s="179"/>
      <c r="Q85" s="63"/>
    </row>
    <row r="86" spans="3:17" x14ac:dyDescent="0.35">
      <c r="C86" s="25"/>
      <c r="D86" s="41"/>
      <c r="E86" s="41"/>
      <c r="F86" s="42"/>
      <c r="G86" s="42"/>
      <c r="I86" s="63"/>
      <c r="J86" s="63"/>
      <c r="L86" s="63"/>
      <c r="M86" s="63"/>
      <c r="N86" s="63"/>
      <c r="O86" s="63"/>
      <c r="P86" s="179"/>
      <c r="Q86" s="63"/>
    </row>
    <row r="87" spans="3:17" x14ac:dyDescent="0.35">
      <c r="C87" s="25"/>
      <c r="D87" s="41"/>
      <c r="E87" s="41"/>
      <c r="F87" s="42"/>
      <c r="G87" s="42"/>
      <c r="I87" s="63"/>
      <c r="J87" s="63"/>
      <c r="L87" s="63"/>
      <c r="M87" s="63"/>
      <c r="N87" s="63"/>
      <c r="O87" s="63"/>
      <c r="P87" s="179"/>
      <c r="Q87" s="63"/>
    </row>
    <row r="88" spans="3:17" x14ac:dyDescent="0.35">
      <c r="C88" s="25"/>
      <c r="D88" s="41"/>
      <c r="E88" s="41"/>
      <c r="F88" s="42"/>
      <c r="G88" s="42"/>
      <c r="I88" s="63"/>
      <c r="J88" s="63"/>
      <c r="L88" s="63"/>
      <c r="M88" s="63"/>
      <c r="N88" s="63"/>
      <c r="O88" s="63"/>
      <c r="P88" s="179"/>
      <c r="Q88" s="63"/>
    </row>
    <row r="89" spans="3:17" x14ac:dyDescent="0.35">
      <c r="C89" s="25"/>
      <c r="D89" s="41"/>
      <c r="E89" s="41"/>
      <c r="F89" s="42"/>
      <c r="G89" s="42"/>
      <c r="I89" s="63"/>
      <c r="J89" s="63"/>
      <c r="L89" s="63"/>
      <c r="M89" s="63"/>
      <c r="N89" s="63"/>
      <c r="O89" s="63"/>
      <c r="P89" s="179"/>
      <c r="Q89" s="63"/>
    </row>
    <row r="90" spans="3:17" x14ac:dyDescent="0.35">
      <c r="C90" s="25"/>
      <c r="D90" s="41"/>
      <c r="E90" s="41"/>
      <c r="F90" s="42"/>
      <c r="G90" s="42"/>
      <c r="I90" s="63"/>
      <c r="J90" s="63"/>
      <c r="L90" s="63"/>
      <c r="M90" s="63"/>
      <c r="N90" s="63"/>
      <c r="O90" s="63"/>
      <c r="P90" s="179"/>
      <c r="Q90" s="63"/>
    </row>
    <row r="91" spans="3:17" x14ac:dyDescent="0.35">
      <c r="C91" s="25"/>
      <c r="D91" s="41"/>
      <c r="E91" s="41"/>
      <c r="F91" s="42"/>
      <c r="G91" s="42"/>
      <c r="I91" s="63"/>
      <c r="J91" s="63"/>
      <c r="L91" s="63"/>
      <c r="M91" s="63"/>
      <c r="N91" s="63"/>
      <c r="O91" s="63"/>
      <c r="P91" s="179"/>
      <c r="Q91" s="63"/>
    </row>
    <row r="92" spans="3:17" x14ac:dyDescent="0.35">
      <c r="C92" s="25"/>
      <c r="D92" s="41"/>
      <c r="E92" s="41"/>
      <c r="F92" s="42"/>
      <c r="G92" s="42"/>
      <c r="I92" s="63"/>
      <c r="J92" s="63"/>
      <c r="L92" s="63"/>
      <c r="M92" s="63"/>
      <c r="N92" s="63"/>
      <c r="O92" s="63"/>
      <c r="P92" s="179"/>
      <c r="Q92" s="63"/>
    </row>
    <row r="93" spans="3:17" x14ac:dyDescent="0.35">
      <c r="C93" s="25"/>
      <c r="D93" s="41"/>
      <c r="E93" s="41"/>
      <c r="F93" s="42"/>
      <c r="G93" s="42"/>
      <c r="I93" s="63"/>
      <c r="J93" s="63"/>
      <c r="L93" s="63"/>
      <c r="M93" s="63"/>
      <c r="N93" s="63"/>
      <c r="O93" s="63"/>
      <c r="P93" s="179"/>
      <c r="Q93" s="63"/>
    </row>
    <row r="94" spans="3:17" x14ac:dyDescent="0.35">
      <c r="C94" s="25"/>
      <c r="D94" s="41"/>
      <c r="E94" s="41"/>
      <c r="F94" s="41"/>
      <c r="G94" s="41"/>
    </row>
    <row r="96" spans="3:17" s="180" customFormat="1" x14ac:dyDescent="0.35">
      <c r="D96" s="181"/>
      <c r="E96" s="181"/>
      <c r="F96" s="181"/>
      <c r="G96" s="181"/>
      <c r="H96" s="181"/>
      <c r="I96" s="181"/>
      <c r="J96" s="181"/>
      <c r="K96" s="181"/>
      <c r="L96" s="181"/>
      <c r="M96" s="182"/>
      <c r="N96" s="182"/>
      <c r="O96" s="181"/>
      <c r="P96" s="181"/>
      <c r="Q96" s="181"/>
    </row>
    <row r="97" spans="2:2" ht="15.5" x14ac:dyDescent="0.35">
      <c r="B97" s="61" t="s">
        <v>32</v>
      </c>
    </row>
    <row r="98" spans="2:2" x14ac:dyDescent="0.35">
      <c r="B98" s="296" t="s">
        <v>69</v>
      </c>
    </row>
    <row r="99" spans="2:2" x14ac:dyDescent="0.35">
      <c r="B99" t="s">
        <v>61</v>
      </c>
    </row>
    <row r="100" spans="2:2" x14ac:dyDescent="0.35">
      <c r="B100" t="s">
        <v>110</v>
      </c>
    </row>
    <row r="104" spans="2:2" x14ac:dyDescent="0.35">
      <c r="B104" s="4" t="s">
        <v>68</v>
      </c>
    </row>
    <row r="105" spans="2:2" x14ac:dyDescent="0.35">
      <c r="B105" s="29" t="s">
        <v>62</v>
      </c>
    </row>
    <row r="106" spans="2:2" x14ac:dyDescent="0.35">
      <c r="B106" t="s">
        <v>64</v>
      </c>
    </row>
    <row r="107" spans="2:2" x14ac:dyDescent="0.35">
      <c r="B107" t="s">
        <v>65</v>
      </c>
    </row>
    <row r="108" spans="2:2" x14ac:dyDescent="0.35">
      <c r="B108" t="s">
        <v>66</v>
      </c>
    </row>
    <row r="109" spans="2:2" x14ac:dyDescent="0.35">
      <c r="B109" t="s">
        <v>67</v>
      </c>
    </row>
    <row r="110" spans="2:2" x14ac:dyDescent="0.35">
      <c r="B110" t="s">
        <v>105</v>
      </c>
    </row>
    <row r="111" spans="2:2" x14ac:dyDescent="0.35">
      <c r="B111" t="s">
        <v>70</v>
      </c>
    </row>
    <row r="112" spans="2:2" x14ac:dyDescent="0.35">
      <c r="B112" t="s">
        <v>71</v>
      </c>
    </row>
    <row r="113" spans="1:2" x14ac:dyDescent="0.35">
      <c r="A113" s="54"/>
      <c r="B113" t="s">
        <v>72</v>
      </c>
    </row>
    <row r="114" spans="1:2" x14ac:dyDescent="0.35">
      <c r="A114" s="55" t="s">
        <v>87</v>
      </c>
      <c r="B114" t="s">
        <v>77</v>
      </c>
    </row>
    <row r="115" spans="1:2" x14ac:dyDescent="0.35">
      <c r="A115" s="55"/>
      <c r="B115" t="s">
        <v>108</v>
      </c>
    </row>
    <row r="116" spans="1:2" x14ac:dyDescent="0.35">
      <c r="A116" s="55"/>
      <c r="B116" t="s">
        <v>109</v>
      </c>
    </row>
    <row r="117" spans="1:2" x14ac:dyDescent="0.35">
      <c r="A117" s="55"/>
    </row>
    <row r="118" spans="1:2" x14ac:dyDescent="0.35">
      <c r="A118" s="55"/>
      <c r="B118" s="29" t="s">
        <v>63</v>
      </c>
    </row>
    <row r="119" spans="1:2" x14ac:dyDescent="0.35">
      <c r="A119" s="55"/>
      <c r="B119" s="4"/>
    </row>
    <row r="120" spans="1:2" x14ac:dyDescent="0.35">
      <c r="A120" s="55" t="s">
        <v>88</v>
      </c>
      <c r="B120" t="s">
        <v>73</v>
      </c>
    </row>
    <row r="121" spans="1:2" x14ac:dyDescent="0.35">
      <c r="A121" s="55" t="s">
        <v>89</v>
      </c>
      <c r="B121" t="s">
        <v>74</v>
      </c>
    </row>
    <row r="122" spans="1:2" x14ac:dyDescent="0.35">
      <c r="A122" s="55" t="s">
        <v>90</v>
      </c>
      <c r="B122" t="s">
        <v>9</v>
      </c>
    </row>
    <row r="123" spans="1:2" x14ac:dyDescent="0.35">
      <c r="A123" s="55" t="s">
        <v>91</v>
      </c>
      <c r="B123" t="s">
        <v>76</v>
      </c>
    </row>
    <row r="124" spans="1:2" x14ac:dyDescent="0.35">
      <c r="A124" s="55"/>
      <c r="B124" t="s">
        <v>75</v>
      </c>
    </row>
    <row r="125" spans="1:2" x14ac:dyDescent="0.35">
      <c r="B125" t="s">
        <v>107</v>
      </c>
    </row>
    <row r="131" spans="1:2" x14ac:dyDescent="0.35">
      <c r="A131" t="s">
        <v>16</v>
      </c>
    </row>
    <row r="132" spans="1:2" x14ac:dyDescent="0.35">
      <c r="A132" s="5" t="s">
        <v>82</v>
      </c>
      <c r="B132" s="52" t="s">
        <v>106</v>
      </c>
    </row>
    <row r="133" spans="1:2" x14ac:dyDescent="0.35">
      <c r="A133" s="5" t="s">
        <v>83</v>
      </c>
      <c r="B133" s="53" t="s">
        <v>34</v>
      </c>
    </row>
    <row r="134" spans="1:2" x14ac:dyDescent="0.35">
      <c r="A134" s="5" t="s">
        <v>84</v>
      </c>
      <c r="B134" t="s">
        <v>92</v>
      </c>
    </row>
    <row r="135" spans="1:2" x14ac:dyDescent="0.35">
      <c r="A135" s="5" t="s">
        <v>85</v>
      </c>
      <c r="B135" s="52" t="s">
        <v>93</v>
      </c>
    </row>
    <row r="136" spans="1:2" x14ac:dyDescent="0.35">
      <c r="A136" s="5" t="s">
        <v>86</v>
      </c>
      <c r="B136" s="52" t="s">
        <v>94</v>
      </c>
    </row>
    <row r="137" spans="1:2" x14ac:dyDescent="0.35">
      <c r="B137" s="52"/>
    </row>
    <row r="150" spans="3:3" x14ac:dyDescent="0.35">
      <c r="C150" t="s">
        <v>153</v>
      </c>
    </row>
    <row r="151" spans="3:3" x14ac:dyDescent="0.35">
      <c r="C151" t="s">
        <v>154</v>
      </c>
    </row>
    <row r="152" spans="3:3" x14ac:dyDescent="0.35">
      <c r="C152" t="s">
        <v>80</v>
      </c>
    </row>
    <row r="153" spans="3:3" x14ac:dyDescent="0.35">
      <c r="C153" t="s">
        <v>155</v>
      </c>
    </row>
    <row r="154" spans="3:3" x14ac:dyDescent="0.35">
      <c r="C154" t="s">
        <v>156</v>
      </c>
    </row>
  </sheetData>
  <mergeCells count="7">
    <mergeCell ref="B4:B5"/>
    <mergeCell ref="H5:I5"/>
    <mergeCell ref="B2:O2"/>
    <mergeCell ref="C3:G3"/>
    <mergeCell ref="H3:I3"/>
    <mergeCell ref="J3:L3"/>
    <mergeCell ref="M3:Q3"/>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0407-34F1-4BF4-8A37-7483A972EFA9}">
  <sheetPr codeName="Sheet17"/>
  <dimension ref="A1:O85"/>
  <sheetViews>
    <sheetView zoomScale="70" zoomScaleNormal="70" workbookViewId="0">
      <pane xSplit="2" ySplit="8" topLeftCell="C9" activePane="bottomRight" state="frozen"/>
      <selection pane="topRight" activeCell="C1" sqref="C1"/>
      <selection pane="bottomLeft" activeCell="A9" sqref="A9"/>
      <selection pane="bottomRight" activeCell="E27" sqref="E27"/>
    </sheetView>
  </sheetViews>
  <sheetFormatPr defaultColWidth="9.1796875" defaultRowHeight="14" x14ac:dyDescent="0.3"/>
  <cols>
    <col min="1" max="1" width="5.1796875" style="210" customWidth="1"/>
    <col min="2" max="2" width="40.1796875" style="210" customWidth="1"/>
    <col min="3" max="3" width="18.7265625" style="210" customWidth="1"/>
    <col min="4" max="4" width="14.7265625" style="210" customWidth="1"/>
    <col min="5" max="5" width="14.54296875" style="210" customWidth="1"/>
    <col min="6" max="6" width="11.7265625" style="210" customWidth="1"/>
    <col min="7" max="8" width="14.7265625" style="210" customWidth="1"/>
    <col min="9" max="10" width="12.26953125" style="210" customWidth="1"/>
    <col min="11" max="11" width="1.7265625" style="210" customWidth="1"/>
    <col min="12" max="12" width="2.1796875" style="210" customWidth="1"/>
    <col min="13" max="13" width="9.1796875" style="210"/>
    <col min="14" max="14" width="14.1796875" style="210" customWidth="1"/>
    <col min="15" max="257" width="9.1796875" style="210"/>
    <col min="258" max="258" width="5.1796875" style="210" customWidth="1"/>
    <col min="259" max="259" width="40.1796875" style="210" customWidth="1"/>
    <col min="260" max="260" width="18.7265625" style="210" customWidth="1"/>
    <col min="261" max="261" width="14.7265625" style="210" customWidth="1"/>
    <col min="262" max="262" width="14.54296875" style="210" customWidth="1"/>
    <col min="263" max="263" width="11.7265625" style="210" customWidth="1"/>
    <col min="264" max="264" width="14.7265625" style="210" customWidth="1"/>
    <col min="265" max="266" width="12.26953125" style="210" customWidth="1"/>
    <col min="267" max="267" width="1.7265625" style="210" customWidth="1"/>
    <col min="268" max="268" width="2.1796875" style="210" customWidth="1"/>
    <col min="269" max="269" width="9.1796875" style="210"/>
    <col min="270" max="270" width="14.1796875" style="210" customWidth="1"/>
    <col min="271" max="513" width="9.1796875" style="210"/>
    <col min="514" max="514" width="5.1796875" style="210" customWidth="1"/>
    <col min="515" max="515" width="40.1796875" style="210" customWidth="1"/>
    <col min="516" max="516" width="18.7265625" style="210" customWidth="1"/>
    <col min="517" max="517" width="14.7265625" style="210" customWidth="1"/>
    <col min="518" max="518" width="14.54296875" style="210" customWidth="1"/>
    <col min="519" max="519" width="11.7265625" style="210" customWidth="1"/>
    <col min="520" max="520" width="14.7265625" style="210" customWidth="1"/>
    <col min="521" max="522" width="12.26953125" style="210" customWidth="1"/>
    <col min="523" max="523" width="1.7265625" style="210" customWidth="1"/>
    <col min="524" max="524" width="2.1796875" style="210" customWidth="1"/>
    <col min="525" max="525" width="9.1796875" style="210"/>
    <col min="526" max="526" width="14.1796875" style="210" customWidth="1"/>
    <col min="527" max="769" width="9.1796875" style="210"/>
    <col min="770" max="770" width="5.1796875" style="210" customWidth="1"/>
    <col min="771" max="771" width="40.1796875" style="210" customWidth="1"/>
    <col min="772" max="772" width="18.7265625" style="210" customWidth="1"/>
    <col min="773" max="773" width="14.7265625" style="210" customWidth="1"/>
    <col min="774" max="774" width="14.54296875" style="210" customWidth="1"/>
    <col min="775" max="775" width="11.7265625" style="210" customWidth="1"/>
    <col min="776" max="776" width="14.7265625" style="210" customWidth="1"/>
    <col min="777" max="778" width="12.26953125" style="210" customWidth="1"/>
    <col min="779" max="779" width="1.7265625" style="210" customWidth="1"/>
    <col min="780" max="780" width="2.1796875" style="210" customWidth="1"/>
    <col min="781" max="781" width="9.1796875" style="210"/>
    <col min="782" max="782" width="14.1796875" style="210" customWidth="1"/>
    <col min="783" max="1025" width="9.1796875" style="210"/>
    <col min="1026" max="1026" width="5.1796875" style="210" customWidth="1"/>
    <col min="1027" max="1027" width="40.1796875" style="210" customWidth="1"/>
    <col min="1028" max="1028" width="18.7265625" style="210" customWidth="1"/>
    <col min="1029" max="1029" width="14.7265625" style="210" customWidth="1"/>
    <col min="1030" max="1030" width="14.54296875" style="210" customWidth="1"/>
    <col min="1031" max="1031" width="11.7265625" style="210" customWidth="1"/>
    <col min="1032" max="1032" width="14.7265625" style="210" customWidth="1"/>
    <col min="1033" max="1034" width="12.26953125" style="210" customWidth="1"/>
    <col min="1035" max="1035" width="1.7265625" style="210" customWidth="1"/>
    <col min="1036" max="1036" width="2.1796875" style="210" customWidth="1"/>
    <col min="1037" max="1037" width="9.1796875" style="210"/>
    <col min="1038" max="1038" width="14.1796875" style="210" customWidth="1"/>
    <col min="1039" max="1281" width="9.1796875" style="210"/>
    <col min="1282" max="1282" width="5.1796875" style="210" customWidth="1"/>
    <col min="1283" max="1283" width="40.1796875" style="210" customWidth="1"/>
    <col min="1284" max="1284" width="18.7265625" style="210" customWidth="1"/>
    <col min="1285" max="1285" width="14.7265625" style="210" customWidth="1"/>
    <col min="1286" max="1286" width="14.54296875" style="210" customWidth="1"/>
    <col min="1287" max="1287" width="11.7265625" style="210" customWidth="1"/>
    <col min="1288" max="1288" width="14.7265625" style="210" customWidth="1"/>
    <col min="1289" max="1290" width="12.26953125" style="210" customWidth="1"/>
    <col min="1291" max="1291" width="1.7265625" style="210" customWidth="1"/>
    <col min="1292" max="1292" width="2.1796875" style="210" customWidth="1"/>
    <col min="1293" max="1293" width="9.1796875" style="210"/>
    <col min="1294" max="1294" width="14.1796875" style="210" customWidth="1"/>
    <col min="1295" max="1537" width="9.1796875" style="210"/>
    <col min="1538" max="1538" width="5.1796875" style="210" customWidth="1"/>
    <col min="1539" max="1539" width="40.1796875" style="210" customWidth="1"/>
    <col min="1540" max="1540" width="18.7265625" style="210" customWidth="1"/>
    <col min="1541" max="1541" width="14.7265625" style="210" customWidth="1"/>
    <col min="1542" max="1542" width="14.54296875" style="210" customWidth="1"/>
    <col min="1543" max="1543" width="11.7265625" style="210" customWidth="1"/>
    <col min="1544" max="1544" width="14.7265625" style="210" customWidth="1"/>
    <col min="1545" max="1546" width="12.26953125" style="210" customWidth="1"/>
    <col min="1547" max="1547" width="1.7265625" style="210" customWidth="1"/>
    <col min="1548" max="1548" width="2.1796875" style="210" customWidth="1"/>
    <col min="1549" max="1549" width="9.1796875" style="210"/>
    <col min="1550" max="1550" width="14.1796875" style="210" customWidth="1"/>
    <col min="1551" max="1793" width="9.1796875" style="210"/>
    <col min="1794" max="1794" width="5.1796875" style="210" customWidth="1"/>
    <col min="1795" max="1795" width="40.1796875" style="210" customWidth="1"/>
    <col min="1796" max="1796" width="18.7265625" style="210" customWidth="1"/>
    <col min="1797" max="1797" width="14.7265625" style="210" customWidth="1"/>
    <col min="1798" max="1798" width="14.54296875" style="210" customWidth="1"/>
    <col min="1799" max="1799" width="11.7265625" style="210" customWidth="1"/>
    <col min="1800" max="1800" width="14.7265625" style="210" customWidth="1"/>
    <col min="1801" max="1802" width="12.26953125" style="210" customWidth="1"/>
    <col min="1803" max="1803" width="1.7265625" style="210" customWidth="1"/>
    <col min="1804" max="1804" width="2.1796875" style="210" customWidth="1"/>
    <col min="1805" max="1805" width="9.1796875" style="210"/>
    <col min="1806" max="1806" width="14.1796875" style="210" customWidth="1"/>
    <col min="1807" max="2049" width="9.1796875" style="210"/>
    <col min="2050" max="2050" width="5.1796875" style="210" customWidth="1"/>
    <col min="2051" max="2051" width="40.1796875" style="210" customWidth="1"/>
    <col min="2052" max="2052" width="18.7265625" style="210" customWidth="1"/>
    <col min="2053" max="2053" width="14.7265625" style="210" customWidth="1"/>
    <col min="2054" max="2054" width="14.54296875" style="210" customWidth="1"/>
    <col min="2055" max="2055" width="11.7265625" style="210" customWidth="1"/>
    <col min="2056" max="2056" width="14.7265625" style="210" customWidth="1"/>
    <col min="2057" max="2058" width="12.26953125" style="210" customWidth="1"/>
    <col min="2059" max="2059" width="1.7265625" style="210" customWidth="1"/>
    <col min="2060" max="2060" width="2.1796875" style="210" customWidth="1"/>
    <col min="2061" max="2061" width="9.1796875" style="210"/>
    <col min="2062" max="2062" width="14.1796875" style="210" customWidth="1"/>
    <col min="2063" max="2305" width="9.1796875" style="210"/>
    <col min="2306" max="2306" width="5.1796875" style="210" customWidth="1"/>
    <col min="2307" max="2307" width="40.1796875" style="210" customWidth="1"/>
    <col min="2308" max="2308" width="18.7265625" style="210" customWidth="1"/>
    <col min="2309" max="2309" width="14.7265625" style="210" customWidth="1"/>
    <col min="2310" max="2310" width="14.54296875" style="210" customWidth="1"/>
    <col min="2311" max="2311" width="11.7265625" style="210" customWidth="1"/>
    <col min="2312" max="2312" width="14.7265625" style="210" customWidth="1"/>
    <col min="2313" max="2314" width="12.26953125" style="210" customWidth="1"/>
    <col min="2315" max="2315" width="1.7265625" style="210" customWidth="1"/>
    <col min="2316" max="2316" width="2.1796875" style="210" customWidth="1"/>
    <col min="2317" max="2317" width="9.1796875" style="210"/>
    <col min="2318" max="2318" width="14.1796875" style="210" customWidth="1"/>
    <col min="2319" max="2561" width="9.1796875" style="210"/>
    <col min="2562" max="2562" width="5.1796875" style="210" customWidth="1"/>
    <col min="2563" max="2563" width="40.1796875" style="210" customWidth="1"/>
    <col min="2564" max="2564" width="18.7265625" style="210" customWidth="1"/>
    <col min="2565" max="2565" width="14.7265625" style="210" customWidth="1"/>
    <col min="2566" max="2566" width="14.54296875" style="210" customWidth="1"/>
    <col min="2567" max="2567" width="11.7265625" style="210" customWidth="1"/>
    <col min="2568" max="2568" width="14.7265625" style="210" customWidth="1"/>
    <col min="2569" max="2570" width="12.26953125" style="210" customWidth="1"/>
    <col min="2571" max="2571" width="1.7265625" style="210" customWidth="1"/>
    <col min="2572" max="2572" width="2.1796875" style="210" customWidth="1"/>
    <col min="2573" max="2573" width="9.1796875" style="210"/>
    <col min="2574" max="2574" width="14.1796875" style="210" customWidth="1"/>
    <col min="2575" max="2817" width="9.1796875" style="210"/>
    <col min="2818" max="2818" width="5.1796875" style="210" customWidth="1"/>
    <col min="2819" max="2819" width="40.1796875" style="210" customWidth="1"/>
    <col min="2820" max="2820" width="18.7265625" style="210" customWidth="1"/>
    <col min="2821" max="2821" width="14.7265625" style="210" customWidth="1"/>
    <col min="2822" max="2822" width="14.54296875" style="210" customWidth="1"/>
    <col min="2823" max="2823" width="11.7265625" style="210" customWidth="1"/>
    <col min="2824" max="2824" width="14.7265625" style="210" customWidth="1"/>
    <col min="2825" max="2826" width="12.26953125" style="210" customWidth="1"/>
    <col min="2827" max="2827" width="1.7265625" style="210" customWidth="1"/>
    <col min="2828" max="2828" width="2.1796875" style="210" customWidth="1"/>
    <col min="2829" max="2829" width="9.1796875" style="210"/>
    <col min="2830" max="2830" width="14.1796875" style="210" customWidth="1"/>
    <col min="2831" max="3073" width="9.1796875" style="210"/>
    <col min="3074" max="3074" width="5.1796875" style="210" customWidth="1"/>
    <col min="3075" max="3075" width="40.1796875" style="210" customWidth="1"/>
    <col min="3076" max="3076" width="18.7265625" style="210" customWidth="1"/>
    <col min="3077" max="3077" width="14.7265625" style="210" customWidth="1"/>
    <col min="3078" max="3078" width="14.54296875" style="210" customWidth="1"/>
    <col min="3079" max="3079" width="11.7265625" style="210" customWidth="1"/>
    <col min="3080" max="3080" width="14.7265625" style="210" customWidth="1"/>
    <col min="3081" max="3082" width="12.26953125" style="210" customWidth="1"/>
    <col min="3083" max="3083" width="1.7265625" style="210" customWidth="1"/>
    <col min="3084" max="3084" width="2.1796875" style="210" customWidth="1"/>
    <col min="3085" max="3085" width="9.1796875" style="210"/>
    <col min="3086" max="3086" width="14.1796875" style="210" customWidth="1"/>
    <col min="3087" max="3329" width="9.1796875" style="210"/>
    <col min="3330" max="3330" width="5.1796875" style="210" customWidth="1"/>
    <col min="3331" max="3331" width="40.1796875" style="210" customWidth="1"/>
    <col min="3332" max="3332" width="18.7265625" style="210" customWidth="1"/>
    <col min="3333" max="3333" width="14.7265625" style="210" customWidth="1"/>
    <col min="3334" max="3334" width="14.54296875" style="210" customWidth="1"/>
    <col min="3335" max="3335" width="11.7265625" style="210" customWidth="1"/>
    <col min="3336" max="3336" width="14.7265625" style="210" customWidth="1"/>
    <col min="3337" max="3338" width="12.26953125" style="210" customWidth="1"/>
    <col min="3339" max="3339" width="1.7265625" style="210" customWidth="1"/>
    <col min="3340" max="3340" width="2.1796875" style="210" customWidth="1"/>
    <col min="3341" max="3341" width="9.1796875" style="210"/>
    <col min="3342" max="3342" width="14.1796875" style="210" customWidth="1"/>
    <col min="3343" max="3585" width="9.1796875" style="210"/>
    <col min="3586" max="3586" width="5.1796875" style="210" customWidth="1"/>
    <col min="3587" max="3587" width="40.1796875" style="210" customWidth="1"/>
    <col min="3588" max="3588" width="18.7265625" style="210" customWidth="1"/>
    <col min="3589" max="3589" width="14.7265625" style="210" customWidth="1"/>
    <col min="3590" max="3590" width="14.54296875" style="210" customWidth="1"/>
    <col min="3591" max="3591" width="11.7265625" style="210" customWidth="1"/>
    <col min="3592" max="3592" width="14.7265625" style="210" customWidth="1"/>
    <col min="3593" max="3594" width="12.26953125" style="210" customWidth="1"/>
    <col min="3595" max="3595" width="1.7265625" style="210" customWidth="1"/>
    <col min="3596" max="3596" width="2.1796875" style="210" customWidth="1"/>
    <col min="3597" max="3597" width="9.1796875" style="210"/>
    <col min="3598" max="3598" width="14.1796875" style="210" customWidth="1"/>
    <col min="3599" max="3841" width="9.1796875" style="210"/>
    <col min="3842" max="3842" width="5.1796875" style="210" customWidth="1"/>
    <col min="3843" max="3843" width="40.1796875" style="210" customWidth="1"/>
    <col min="3844" max="3844" width="18.7265625" style="210" customWidth="1"/>
    <col min="3845" max="3845" width="14.7265625" style="210" customWidth="1"/>
    <col min="3846" max="3846" width="14.54296875" style="210" customWidth="1"/>
    <col min="3847" max="3847" width="11.7265625" style="210" customWidth="1"/>
    <col min="3848" max="3848" width="14.7265625" style="210" customWidth="1"/>
    <col min="3849" max="3850" width="12.26953125" style="210" customWidth="1"/>
    <col min="3851" max="3851" width="1.7265625" style="210" customWidth="1"/>
    <col min="3852" max="3852" width="2.1796875" style="210" customWidth="1"/>
    <col min="3853" max="3853" width="9.1796875" style="210"/>
    <col min="3854" max="3854" width="14.1796875" style="210" customWidth="1"/>
    <col min="3855" max="4097" width="9.1796875" style="210"/>
    <col min="4098" max="4098" width="5.1796875" style="210" customWidth="1"/>
    <col min="4099" max="4099" width="40.1796875" style="210" customWidth="1"/>
    <col min="4100" max="4100" width="18.7265625" style="210" customWidth="1"/>
    <col min="4101" max="4101" width="14.7265625" style="210" customWidth="1"/>
    <col min="4102" max="4102" width="14.54296875" style="210" customWidth="1"/>
    <col min="4103" max="4103" width="11.7265625" style="210" customWidth="1"/>
    <col min="4104" max="4104" width="14.7265625" style="210" customWidth="1"/>
    <col min="4105" max="4106" width="12.26953125" style="210" customWidth="1"/>
    <col min="4107" max="4107" width="1.7265625" style="210" customWidth="1"/>
    <col min="4108" max="4108" width="2.1796875" style="210" customWidth="1"/>
    <col min="4109" max="4109" width="9.1796875" style="210"/>
    <col min="4110" max="4110" width="14.1796875" style="210" customWidth="1"/>
    <col min="4111" max="4353" width="9.1796875" style="210"/>
    <col min="4354" max="4354" width="5.1796875" style="210" customWidth="1"/>
    <col min="4355" max="4355" width="40.1796875" style="210" customWidth="1"/>
    <col min="4356" max="4356" width="18.7265625" style="210" customWidth="1"/>
    <col min="4357" max="4357" width="14.7265625" style="210" customWidth="1"/>
    <col min="4358" max="4358" width="14.54296875" style="210" customWidth="1"/>
    <col min="4359" max="4359" width="11.7265625" style="210" customWidth="1"/>
    <col min="4360" max="4360" width="14.7265625" style="210" customWidth="1"/>
    <col min="4361" max="4362" width="12.26953125" style="210" customWidth="1"/>
    <col min="4363" max="4363" width="1.7265625" style="210" customWidth="1"/>
    <col min="4364" max="4364" width="2.1796875" style="210" customWidth="1"/>
    <col min="4365" max="4365" width="9.1796875" style="210"/>
    <col min="4366" max="4366" width="14.1796875" style="210" customWidth="1"/>
    <col min="4367" max="4609" width="9.1796875" style="210"/>
    <col min="4610" max="4610" width="5.1796875" style="210" customWidth="1"/>
    <col min="4611" max="4611" width="40.1796875" style="210" customWidth="1"/>
    <col min="4612" max="4612" width="18.7265625" style="210" customWidth="1"/>
    <col min="4613" max="4613" width="14.7265625" style="210" customWidth="1"/>
    <col min="4614" max="4614" width="14.54296875" style="210" customWidth="1"/>
    <col min="4615" max="4615" width="11.7265625" style="210" customWidth="1"/>
    <col min="4616" max="4616" width="14.7265625" style="210" customWidth="1"/>
    <col min="4617" max="4618" width="12.26953125" style="210" customWidth="1"/>
    <col min="4619" max="4619" width="1.7265625" style="210" customWidth="1"/>
    <col min="4620" max="4620" width="2.1796875" style="210" customWidth="1"/>
    <col min="4621" max="4621" width="9.1796875" style="210"/>
    <col min="4622" max="4622" width="14.1796875" style="210" customWidth="1"/>
    <col min="4623" max="4865" width="9.1796875" style="210"/>
    <col min="4866" max="4866" width="5.1796875" style="210" customWidth="1"/>
    <col min="4867" max="4867" width="40.1796875" style="210" customWidth="1"/>
    <col min="4868" max="4868" width="18.7265625" style="210" customWidth="1"/>
    <col min="4869" max="4869" width="14.7265625" style="210" customWidth="1"/>
    <col min="4870" max="4870" width="14.54296875" style="210" customWidth="1"/>
    <col min="4871" max="4871" width="11.7265625" style="210" customWidth="1"/>
    <col min="4872" max="4872" width="14.7265625" style="210" customWidth="1"/>
    <col min="4873" max="4874" width="12.26953125" style="210" customWidth="1"/>
    <col min="4875" max="4875" width="1.7265625" style="210" customWidth="1"/>
    <col min="4876" max="4876" width="2.1796875" style="210" customWidth="1"/>
    <col min="4877" max="4877" width="9.1796875" style="210"/>
    <col min="4878" max="4878" width="14.1796875" style="210" customWidth="1"/>
    <col min="4879" max="5121" width="9.1796875" style="210"/>
    <col min="5122" max="5122" width="5.1796875" style="210" customWidth="1"/>
    <col min="5123" max="5123" width="40.1796875" style="210" customWidth="1"/>
    <col min="5124" max="5124" width="18.7265625" style="210" customWidth="1"/>
    <col min="5125" max="5125" width="14.7265625" style="210" customWidth="1"/>
    <col min="5126" max="5126" width="14.54296875" style="210" customWidth="1"/>
    <col min="5127" max="5127" width="11.7265625" style="210" customWidth="1"/>
    <col min="5128" max="5128" width="14.7265625" style="210" customWidth="1"/>
    <col min="5129" max="5130" width="12.26953125" style="210" customWidth="1"/>
    <col min="5131" max="5131" width="1.7265625" style="210" customWidth="1"/>
    <col min="5132" max="5132" width="2.1796875" style="210" customWidth="1"/>
    <col min="5133" max="5133" width="9.1796875" style="210"/>
    <col min="5134" max="5134" width="14.1796875" style="210" customWidth="1"/>
    <col min="5135" max="5377" width="9.1796875" style="210"/>
    <col min="5378" max="5378" width="5.1796875" style="210" customWidth="1"/>
    <col min="5379" max="5379" width="40.1796875" style="210" customWidth="1"/>
    <col min="5380" max="5380" width="18.7265625" style="210" customWidth="1"/>
    <col min="5381" max="5381" width="14.7265625" style="210" customWidth="1"/>
    <col min="5382" max="5382" width="14.54296875" style="210" customWidth="1"/>
    <col min="5383" max="5383" width="11.7265625" style="210" customWidth="1"/>
    <col min="5384" max="5384" width="14.7265625" style="210" customWidth="1"/>
    <col min="5385" max="5386" width="12.26953125" style="210" customWidth="1"/>
    <col min="5387" max="5387" width="1.7265625" style="210" customWidth="1"/>
    <col min="5388" max="5388" width="2.1796875" style="210" customWidth="1"/>
    <col min="5389" max="5389" width="9.1796875" style="210"/>
    <col min="5390" max="5390" width="14.1796875" style="210" customWidth="1"/>
    <col min="5391" max="5633" width="9.1796875" style="210"/>
    <col min="5634" max="5634" width="5.1796875" style="210" customWidth="1"/>
    <col min="5635" max="5635" width="40.1796875" style="210" customWidth="1"/>
    <col min="5636" max="5636" width="18.7265625" style="210" customWidth="1"/>
    <col min="5637" max="5637" width="14.7265625" style="210" customWidth="1"/>
    <col min="5638" max="5638" width="14.54296875" style="210" customWidth="1"/>
    <col min="5639" max="5639" width="11.7265625" style="210" customWidth="1"/>
    <col min="5640" max="5640" width="14.7265625" style="210" customWidth="1"/>
    <col min="5641" max="5642" width="12.26953125" style="210" customWidth="1"/>
    <col min="5643" max="5643" width="1.7265625" style="210" customWidth="1"/>
    <col min="5644" max="5644" width="2.1796875" style="210" customWidth="1"/>
    <col min="5645" max="5645" width="9.1796875" style="210"/>
    <col min="5646" max="5646" width="14.1796875" style="210" customWidth="1"/>
    <col min="5647" max="5889" width="9.1796875" style="210"/>
    <col min="5890" max="5890" width="5.1796875" style="210" customWidth="1"/>
    <col min="5891" max="5891" width="40.1796875" style="210" customWidth="1"/>
    <col min="5892" max="5892" width="18.7265625" style="210" customWidth="1"/>
    <col min="5893" max="5893" width="14.7265625" style="210" customWidth="1"/>
    <col min="5894" max="5894" width="14.54296875" style="210" customWidth="1"/>
    <col min="5895" max="5895" width="11.7265625" style="210" customWidth="1"/>
    <col min="5896" max="5896" width="14.7265625" style="210" customWidth="1"/>
    <col min="5897" max="5898" width="12.26953125" style="210" customWidth="1"/>
    <col min="5899" max="5899" width="1.7265625" style="210" customWidth="1"/>
    <col min="5900" max="5900" width="2.1796875" style="210" customWidth="1"/>
    <col min="5901" max="5901" width="9.1796875" style="210"/>
    <col min="5902" max="5902" width="14.1796875" style="210" customWidth="1"/>
    <col min="5903" max="6145" width="9.1796875" style="210"/>
    <col min="6146" max="6146" width="5.1796875" style="210" customWidth="1"/>
    <col min="6147" max="6147" width="40.1796875" style="210" customWidth="1"/>
    <col min="6148" max="6148" width="18.7265625" style="210" customWidth="1"/>
    <col min="6149" max="6149" width="14.7265625" style="210" customWidth="1"/>
    <col min="6150" max="6150" width="14.54296875" style="210" customWidth="1"/>
    <col min="6151" max="6151" width="11.7265625" style="210" customWidth="1"/>
    <col min="6152" max="6152" width="14.7265625" style="210" customWidth="1"/>
    <col min="6153" max="6154" width="12.26953125" style="210" customWidth="1"/>
    <col min="6155" max="6155" width="1.7265625" style="210" customWidth="1"/>
    <col min="6156" max="6156" width="2.1796875" style="210" customWidth="1"/>
    <col min="6157" max="6157" width="9.1796875" style="210"/>
    <col min="6158" max="6158" width="14.1796875" style="210" customWidth="1"/>
    <col min="6159" max="6401" width="9.1796875" style="210"/>
    <col min="6402" max="6402" width="5.1796875" style="210" customWidth="1"/>
    <col min="6403" max="6403" width="40.1796875" style="210" customWidth="1"/>
    <col min="6404" max="6404" width="18.7265625" style="210" customWidth="1"/>
    <col min="6405" max="6405" width="14.7265625" style="210" customWidth="1"/>
    <col min="6406" max="6406" width="14.54296875" style="210" customWidth="1"/>
    <col min="6407" max="6407" width="11.7265625" style="210" customWidth="1"/>
    <col min="6408" max="6408" width="14.7265625" style="210" customWidth="1"/>
    <col min="6409" max="6410" width="12.26953125" style="210" customWidth="1"/>
    <col min="6411" max="6411" width="1.7265625" style="210" customWidth="1"/>
    <col min="6412" max="6412" width="2.1796875" style="210" customWidth="1"/>
    <col min="6413" max="6413" width="9.1796875" style="210"/>
    <col min="6414" max="6414" width="14.1796875" style="210" customWidth="1"/>
    <col min="6415" max="6657" width="9.1796875" style="210"/>
    <col min="6658" max="6658" width="5.1796875" style="210" customWidth="1"/>
    <col min="6659" max="6659" width="40.1796875" style="210" customWidth="1"/>
    <col min="6660" max="6660" width="18.7265625" style="210" customWidth="1"/>
    <col min="6661" max="6661" width="14.7265625" style="210" customWidth="1"/>
    <col min="6662" max="6662" width="14.54296875" style="210" customWidth="1"/>
    <col min="6663" max="6663" width="11.7265625" style="210" customWidth="1"/>
    <col min="6664" max="6664" width="14.7265625" style="210" customWidth="1"/>
    <col min="6665" max="6666" width="12.26953125" style="210" customWidth="1"/>
    <col min="6667" max="6667" width="1.7265625" style="210" customWidth="1"/>
    <col min="6668" max="6668" width="2.1796875" style="210" customWidth="1"/>
    <col min="6669" max="6669" width="9.1796875" style="210"/>
    <col min="6670" max="6670" width="14.1796875" style="210" customWidth="1"/>
    <col min="6671" max="6913" width="9.1796875" style="210"/>
    <col min="6914" max="6914" width="5.1796875" style="210" customWidth="1"/>
    <col min="6915" max="6915" width="40.1796875" style="210" customWidth="1"/>
    <col min="6916" max="6916" width="18.7265625" style="210" customWidth="1"/>
    <col min="6917" max="6917" width="14.7265625" style="210" customWidth="1"/>
    <col min="6918" max="6918" width="14.54296875" style="210" customWidth="1"/>
    <col min="6919" max="6919" width="11.7265625" style="210" customWidth="1"/>
    <col min="6920" max="6920" width="14.7265625" style="210" customWidth="1"/>
    <col min="6921" max="6922" width="12.26953125" style="210" customWidth="1"/>
    <col min="6923" max="6923" width="1.7265625" style="210" customWidth="1"/>
    <col min="6924" max="6924" width="2.1796875" style="210" customWidth="1"/>
    <col min="6925" max="6925" width="9.1796875" style="210"/>
    <col min="6926" max="6926" width="14.1796875" style="210" customWidth="1"/>
    <col min="6927" max="7169" width="9.1796875" style="210"/>
    <col min="7170" max="7170" width="5.1796875" style="210" customWidth="1"/>
    <col min="7171" max="7171" width="40.1796875" style="210" customWidth="1"/>
    <col min="7172" max="7172" width="18.7265625" style="210" customWidth="1"/>
    <col min="7173" max="7173" width="14.7265625" style="210" customWidth="1"/>
    <col min="7174" max="7174" width="14.54296875" style="210" customWidth="1"/>
    <col min="7175" max="7175" width="11.7265625" style="210" customWidth="1"/>
    <col min="7176" max="7176" width="14.7265625" style="210" customWidth="1"/>
    <col min="7177" max="7178" width="12.26953125" style="210" customWidth="1"/>
    <col min="7179" max="7179" width="1.7265625" style="210" customWidth="1"/>
    <col min="7180" max="7180" width="2.1796875" style="210" customWidth="1"/>
    <col min="7181" max="7181" width="9.1796875" style="210"/>
    <col min="7182" max="7182" width="14.1796875" style="210" customWidth="1"/>
    <col min="7183" max="7425" width="9.1796875" style="210"/>
    <col min="7426" max="7426" width="5.1796875" style="210" customWidth="1"/>
    <col min="7427" max="7427" width="40.1796875" style="210" customWidth="1"/>
    <col min="7428" max="7428" width="18.7265625" style="210" customWidth="1"/>
    <col min="7429" max="7429" width="14.7265625" style="210" customWidth="1"/>
    <col min="7430" max="7430" width="14.54296875" style="210" customWidth="1"/>
    <col min="7431" max="7431" width="11.7265625" style="210" customWidth="1"/>
    <col min="7432" max="7432" width="14.7265625" style="210" customWidth="1"/>
    <col min="7433" max="7434" width="12.26953125" style="210" customWidth="1"/>
    <col min="7435" max="7435" width="1.7265625" style="210" customWidth="1"/>
    <col min="7436" max="7436" width="2.1796875" style="210" customWidth="1"/>
    <col min="7437" max="7437" width="9.1796875" style="210"/>
    <col min="7438" max="7438" width="14.1796875" style="210" customWidth="1"/>
    <col min="7439" max="7681" width="9.1796875" style="210"/>
    <col min="7682" max="7682" width="5.1796875" style="210" customWidth="1"/>
    <col min="7683" max="7683" width="40.1796875" style="210" customWidth="1"/>
    <col min="7684" max="7684" width="18.7265625" style="210" customWidth="1"/>
    <col min="7685" max="7685" width="14.7265625" style="210" customWidth="1"/>
    <col min="7686" max="7686" width="14.54296875" style="210" customWidth="1"/>
    <col min="7687" max="7687" width="11.7265625" style="210" customWidth="1"/>
    <col min="7688" max="7688" width="14.7265625" style="210" customWidth="1"/>
    <col min="7689" max="7690" width="12.26953125" style="210" customWidth="1"/>
    <col min="7691" max="7691" width="1.7265625" style="210" customWidth="1"/>
    <col min="7692" max="7692" width="2.1796875" style="210" customWidth="1"/>
    <col min="7693" max="7693" width="9.1796875" style="210"/>
    <col min="7694" max="7694" width="14.1796875" style="210" customWidth="1"/>
    <col min="7695" max="7937" width="9.1796875" style="210"/>
    <col min="7938" max="7938" width="5.1796875" style="210" customWidth="1"/>
    <col min="7939" max="7939" width="40.1796875" style="210" customWidth="1"/>
    <col min="7940" max="7940" width="18.7265625" style="210" customWidth="1"/>
    <col min="7941" max="7941" width="14.7265625" style="210" customWidth="1"/>
    <col min="7942" max="7942" width="14.54296875" style="210" customWidth="1"/>
    <col min="7943" max="7943" width="11.7265625" style="210" customWidth="1"/>
    <col min="7944" max="7944" width="14.7265625" style="210" customWidth="1"/>
    <col min="7945" max="7946" width="12.26953125" style="210" customWidth="1"/>
    <col min="7947" max="7947" width="1.7265625" style="210" customWidth="1"/>
    <col min="7948" max="7948" width="2.1796875" style="210" customWidth="1"/>
    <col min="7949" max="7949" width="9.1796875" style="210"/>
    <col min="7950" max="7950" width="14.1796875" style="210" customWidth="1"/>
    <col min="7951" max="8193" width="9.1796875" style="210"/>
    <col min="8194" max="8194" width="5.1796875" style="210" customWidth="1"/>
    <col min="8195" max="8195" width="40.1796875" style="210" customWidth="1"/>
    <col min="8196" max="8196" width="18.7265625" style="210" customWidth="1"/>
    <col min="8197" max="8197" width="14.7265625" style="210" customWidth="1"/>
    <col min="8198" max="8198" width="14.54296875" style="210" customWidth="1"/>
    <col min="8199" max="8199" width="11.7265625" style="210" customWidth="1"/>
    <col min="8200" max="8200" width="14.7265625" style="210" customWidth="1"/>
    <col min="8201" max="8202" width="12.26953125" style="210" customWidth="1"/>
    <col min="8203" max="8203" width="1.7265625" style="210" customWidth="1"/>
    <col min="8204" max="8204" width="2.1796875" style="210" customWidth="1"/>
    <col min="8205" max="8205" width="9.1796875" style="210"/>
    <col min="8206" max="8206" width="14.1796875" style="210" customWidth="1"/>
    <col min="8207" max="8449" width="9.1796875" style="210"/>
    <col min="8450" max="8450" width="5.1796875" style="210" customWidth="1"/>
    <col min="8451" max="8451" width="40.1796875" style="210" customWidth="1"/>
    <col min="8452" max="8452" width="18.7265625" style="210" customWidth="1"/>
    <col min="8453" max="8453" width="14.7265625" style="210" customWidth="1"/>
    <col min="8454" max="8454" width="14.54296875" style="210" customWidth="1"/>
    <col min="8455" max="8455" width="11.7265625" style="210" customWidth="1"/>
    <col min="8456" max="8456" width="14.7265625" style="210" customWidth="1"/>
    <col min="8457" max="8458" width="12.26953125" style="210" customWidth="1"/>
    <col min="8459" max="8459" width="1.7265625" style="210" customWidth="1"/>
    <col min="8460" max="8460" width="2.1796875" style="210" customWidth="1"/>
    <col min="8461" max="8461" width="9.1796875" style="210"/>
    <col min="8462" max="8462" width="14.1796875" style="210" customWidth="1"/>
    <col min="8463" max="8705" width="9.1796875" style="210"/>
    <col min="8706" max="8706" width="5.1796875" style="210" customWidth="1"/>
    <col min="8707" max="8707" width="40.1796875" style="210" customWidth="1"/>
    <col min="8708" max="8708" width="18.7265625" style="210" customWidth="1"/>
    <col min="8709" max="8709" width="14.7265625" style="210" customWidth="1"/>
    <col min="8710" max="8710" width="14.54296875" style="210" customWidth="1"/>
    <col min="8711" max="8711" width="11.7265625" style="210" customWidth="1"/>
    <col min="8712" max="8712" width="14.7265625" style="210" customWidth="1"/>
    <col min="8713" max="8714" width="12.26953125" style="210" customWidth="1"/>
    <col min="8715" max="8715" width="1.7265625" style="210" customWidth="1"/>
    <col min="8716" max="8716" width="2.1796875" style="210" customWidth="1"/>
    <col min="8717" max="8717" width="9.1796875" style="210"/>
    <col min="8718" max="8718" width="14.1796875" style="210" customWidth="1"/>
    <col min="8719" max="8961" width="9.1796875" style="210"/>
    <col min="8962" max="8962" width="5.1796875" style="210" customWidth="1"/>
    <col min="8963" max="8963" width="40.1796875" style="210" customWidth="1"/>
    <col min="8964" max="8964" width="18.7265625" style="210" customWidth="1"/>
    <col min="8965" max="8965" width="14.7265625" style="210" customWidth="1"/>
    <col min="8966" max="8966" width="14.54296875" style="210" customWidth="1"/>
    <col min="8967" max="8967" width="11.7265625" style="210" customWidth="1"/>
    <col min="8968" max="8968" width="14.7265625" style="210" customWidth="1"/>
    <col min="8969" max="8970" width="12.26953125" style="210" customWidth="1"/>
    <col min="8971" max="8971" width="1.7265625" style="210" customWidth="1"/>
    <col min="8972" max="8972" width="2.1796875" style="210" customWidth="1"/>
    <col min="8973" max="8973" width="9.1796875" style="210"/>
    <col min="8974" max="8974" width="14.1796875" style="210" customWidth="1"/>
    <col min="8975" max="9217" width="9.1796875" style="210"/>
    <col min="9218" max="9218" width="5.1796875" style="210" customWidth="1"/>
    <col min="9219" max="9219" width="40.1796875" style="210" customWidth="1"/>
    <col min="9220" max="9220" width="18.7265625" style="210" customWidth="1"/>
    <col min="9221" max="9221" width="14.7265625" style="210" customWidth="1"/>
    <col min="9222" max="9222" width="14.54296875" style="210" customWidth="1"/>
    <col min="9223" max="9223" width="11.7265625" style="210" customWidth="1"/>
    <col min="9224" max="9224" width="14.7265625" style="210" customWidth="1"/>
    <col min="9225" max="9226" width="12.26953125" style="210" customWidth="1"/>
    <col min="9227" max="9227" width="1.7265625" style="210" customWidth="1"/>
    <col min="9228" max="9228" width="2.1796875" style="210" customWidth="1"/>
    <col min="9229" max="9229" width="9.1796875" style="210"/>
    <col min="9230" max="9230" width="14.1796875" style="210" customWidth="1"/>
    <col min="9231" max="9473" width="9.1796875" style="210"/>
    <col min="9474" max="9474" width="5.1796875" style="210" customWidth="1"/>
    <col min="9475" max="9475" width="40.1796875" style="210" customWidth="1"/>
    <col min="9476" max="9476" width="18.7265625" style="210" customWidth="1"/>
    <col min="9477" max="9477" width="14.7265625" style="210" customWidth="1"/>
    <col min="9478" max="9478" width="14.54296875" style="210" customWidth="1"/>
    <col min="9479" max="9479" width="11.7265625" style="210" customWidth="1"/>
    <col min="9480" max="9480" width="14.7265625" style="210" customWidth="1"/>
    <col min="9481" max="9482" width="12.26953125" style="210" customWidth="1"/>
    <col min="9483" max="9483" width="1.7265625" style="210" customWidth="1"/>
    <col min="9484" max="9484" width="2.1796875" style="210" customWidth="1"/>
    <col min="9485" max="9485" width="9.1796875" style="210"/>
    <col min="9486" max="9486" width="14.1796875" style="210" customWidth="1"/>
    <col min="9487" max="9729" width="9.1796875" style="210"/>
    <col min="9730" max="9730" width="5.1796875" style="210" customWidth="1"/>
    <col min="9731" max="9731" width="40.1796875" style="210" customWidth="1"/>
    <col min="9732" max="9732" width="18.7265625" style="210" customWidth="1"/>
    <col min="9733" max="9733" width="14.7265625" style="210" customWidth="1"/>
    <col min="9734" max="9734" width="14.54296875" style="210" customWidth="1"/>
    <col min="9735" max="9735" width="11.7265625" style="210" customWidth="1"/>
    <col min="9736" max="9736" width="14.7265625" style="210" customWidth="1"/>
    <col min="9737" max="9738" width="12.26953125" style="210" customWidth="1"/>
    <col min="9739" max="9739" width="1.7265625" style="210" customWidth="1"/>
    <col min="9740" max="9740" width="2.1796875" style="210" customWidth="1"/>
    <col min="9741" max="9741" width="9.1796875" style="210"/>
    <col min="9742" max="9742" width="14.1796875" style="210" customWidth="1"/>
    <col min="9743" max="9985" width="9.1796875" style="210"/>
    <col min="9986" max="9986" width="5.1796875" style="210" customWidth="1"/>
    <col min="9987" max="9987" width="40.1796875" style="210" customWidth="1"/>
    <col min="9988" max="9988" width="18.7265625" style="210" customWidth="1"/>
    <col min="9989" max="9989" width="14.7265625" style="210" customWidth="1"/>
    <col min="9990" max="9990" width="14.54296875" style="210" customWidth="1"/>
    <col min="9991" max="9991" width="11.7265625" style="210" customWidth="1"/>
    <col min="9992" max="9992" width="14.7265625" style="210" customWidth="1"/>
    <col min="9993" max="9994" width="12.26953125" style="210" customWidth="1"/>
    <col min="9995" max="9995" width="1.7265625" style="210" customWidth="1"/>
    <col min="9996" max="9996" width="2.1796875" style="210" customWidth="1"/>
    <col min="9997" max="9997" width="9.1796875" style="210"/>
    <col min="9998" max="9998" width="14.1796875" style="210" customWidth="1"/>
    <col min="9999" max="10241" width="9.1796875" style="210"/>
    <col min="10242" max="10242" width="5.1796875" style="210" customWidth="1"/>
    <col min="10243" max="10243" width="40.1796875" style="210" customWidth="1"/>
    <col min="10244" max="10244" width="18.7265625" style="210" customWidth="1"/>
    <col min="10245" max="10245" width="14.7265625" style="210" customWidth="1"/>
    <col min="10246" max="10246" width="14.54296875" style="210" customWidth="1"/>
    <col min="10247" max="10247" width="11.7265625" style="210" customWidth="1"/>
    <col min="10248" max="10248" width="14.7265625" style="210" customWidth="1"/>
    <col min="10249" max="10250" width="12.26953125" style="210" customWidth="1"/>
    <col min="10251" max="10251" width="1.7265625" style="210" customWidth="1"/>
    <col min="10252" max="10252" width="2.1796875" style="210" customWidth="1"/>
    <col min="10253" max="10253" width="9.1796875" style="210"/>
    <col min="10254" max="10254" width="14.1796875" style="210" customWidth="1"/>
    <col min="10255" max="10497" width="9.1796875" style="210"/>
    <col min="10498" max="10498" width="5.1796875" style="210" customWidth="1"/>
    <col min="10499" max="10499" width="40.1796875" style="210" customWidth="1"/>
    <col min="10500" max="10500" width="18.7265625" style="210" customWidth="1"/>
    <col min="10501" max="10501" width="14.7265625" style="210" customWidth="1"/>
    <col min="10502" max="10502" width="14.54296875" style="210" customWidth="1"/>
    <col min="10503" max="10503" width="11.7265625" style="210" customWidth="1"/>
    <col min="10504" max="10504" width="14.7265625" style="210" customWidth="1"/>
    <col min="10505" max="10506" width="12.26953125" style="210" customWidth="1"/>
    <col min="10507" max="10507" width="1.7265625" style="210" customWidth="1"/>
    <col min="10508" max="10508" width="2.1796875" style="210" customWidth="1"/>
    <col min="10509" max="10509" width="9.1796875" style="210"/>
    <col min="10510" max="10510" width="14.1796875" style="210" customWidth="1"/>
    <col min="10511" max="10753" width="9.1796875" style="210"/>
    <col min="10754" max="10754" width="5.1796875" style="210" customWidth="1"/>
    <col min="10755" max="10755" width="40.1796875" style="210" customWidth="1"/>
    <col min="10756" max="10756" width="18.7265625" style="210" customWidth="1"/>
    <col min="10757" max="10757" width="14.7265625" style="210" customWidth="1"/>
    <col min="10758" max="10758" width="14.54296875" style="210" customWidth="1"/>
    <col min="10759" max="10759" width="11.7265625" style="210" customWidth="1"/>
    <col min="10760" max="10760" width="14.7265625" style="210" customWidth="1"/>
    <col min="10761" max="10762" width="12.26953125" style="210" customWidth="1"/>
    <col min="10763" max="10763" width="1.7265625" style="210" customWidth="1"/>
    <col min="10764" max="10764" width="2.1796875" style="210" customWidth="1"/>
    <col min="10765" max="10765" width="9.1796875" style="210"/>
    <col min="10766" max="10766" width="14.1796875" style="210" customWidth="1"/>
    <col min="10767" max="11009" width="9.1796875" style="210"/>
    <col min="11010" max="11010" width="5.1796875" style="210" customWidth="1"/>
    <col min="11011" max="11011" width="40.1796875" style="210" customWidth="1"/>
    <col min="11012" max="11012" width="18.7265625" style="210" customWidth="1"/>
    <col min="11013" max="11013" width="14.7265625" style="210" customWidth="1"/>
    <col min="11014" max="11014" width="14.54296875" style="210" customWidth="1"/>
    <col min="11015" max="11015" width="11.7265625" style="210" customWidth="1"/>
    <col min="11016" max="11016" width="14.7265625" style="210" customWidth="1"/>
    <col min="11017" max="11018" width="12.26953125" style="210" customWidth="1"/>
    <col min="11019" max="11019" width="1.7265625" style="210" customWidth="1"/>
    <col min="11020" max="11020" width="2.1796875" style="210" customWidth="1"/>
    <col min="11021" max="11021" width="9.1796875" style="210"/>
    <col min="11022" max="11022" width="14.1796875" style="210" customWidth="1"/>
    <col min="11023" max="11265" width="9.1796875" style="210"/>
    <col min="11266" max="11266" width="5.1796875" style="210" customWidth="1"/>
    <col min="11267" max="11267" width="40.1796875" style="210" customWidth="1"/>
    <col min="11268" max="11268" width="18.7265625" style="210" customWidth="1"/>
    <col min="11269" max="11269" width="14.7265625" style="210" customWidth="1"/>
    <col min="11270" max="11270" width="14.54296875" style="210" customWidth="1"/>
    <col min="11271" max="11271" width="11.7265625" style="210" customWidth="1"/>
    <col min="11272" max="11272" width="14.7265625" style="210" customWidth="1"/>
    <col min="11273" max="11274" width="12.26953125" style="210" customWidth="1"/>
    <col min="11275" max="11275" width="1.7265625" style="210" customWidth="1"/>
    <col min="11276" max="11276" width="2.1796875" style="210" customWidth="1"/>
    <col min="11277" max="11277" width="9.1796875" style="210"/>
    <col min="11278" max="11278" width="14.1796875" style="210" customWidth="1"/>
    <col min="11279" max="11521" width="9.1796875" style="210"/>
    <col min="11522" max="11522" width="5.1796875" style="210" customWidth="1"/>
    <col min="11523" max="11523" width="40.1796875" style="210" customWidth="1"/>
    <col min="11524" max="11524" width="18.7265625" style="210" customWidth="1"/>
    <col min="11525" max="11525" width="14.7265625" style="210" customWidth="1"/>
    <col min="11526" max="11526" width="14.54296875" style="210" customWidth="1"/>
    <col min="11527" max="11527" width="11.7265625" style="210" customWidth="1"/>
    <col min="11528" max="11528" width="14.7265625" style="210" customWidth="1"/>
    <col min="11529" max="11530" width="12.26953125" style="210" customWidth="1"/>
    <col min="11531" max="11531" width="1.7265625" style="210" customWidth="1"/>
    <col min="11532" max="11532" width="2.1796875" style="210" customWidth="1"/>
    <col min="11533" max="11533" width="9.1796875" style="210"/>
    <col min="11534" max="11534" width="14.1796875" style="210" customWidth="1"/>
    <col min="11535" max="11777" width="9.1796875" style="210"/>
    <col min="11778" max="11778" width="5.1796875" style="210" customWidth="1"/>
    <col min="11779" max="11779" width="40.1796875" style="210" customWidth="1"/>
    <col min="11780" max="11780" width="18.7265625" style="210" customWidth="1"/>
    <col min="11781" max="11781" width="14.7265625" style="210" customWidth="1"/>
    <col min="11782" max="11782" width="14.54296875" style="210" customWidth="1"/>
    <col min="11783" max="11783" width="11.7265625" style="210" customWidth="1"/>
    <col min="11784" max="11784" width="14.7265625" style="210" customWidth="1"/>
    <col min="11785" max="11786" width="12.26953125" style="210" customWidth="1"/>
    <col min="11787" max="11787" width="1.7265625" style="210" customWidth="1"/>
    <col min="11788" max="11788" width="2.1796875" style="210" customWidth="1"/>
    <col min="11789" max="11789" width="9.1796875" style="210"/>
    <col min="11790" max="11790" width="14.1796875" style="210" customWidth="1"/>
    <col min="11791" max="12033" width="9.1796875" style="210"/>
    <col min="12034" max="12034" width="5.1796875" style="210" customWidth="1"/>
    <col min="12035" max="12035" width="40.1796875" style="210" customWidth="1"/>
    <col min="12036" max="12036" width="18.7265625" style="210" customWidth="1"/>
    <col min="12037" max="12037" width="14.7265625" style="210" customWidth="1"/>
    <col min="12038" max="12038" width="14.54296875" style="210" customWidth="1"/>
    <col min="12039" max="12039" width="11.7265625" style="210" customWidth="1"/>
    <col min="12040" max="12040" width="14.7265625" style="210" customWidth="1"/>
    <col min="12041" max="12042" width="12.26953125" style="210" customWidth="1"/>
    <col min="12043" max="12043" width="1.7265625" style="210" customWidth="1"/>
    <col min="12044" max="12044" width="2.1796875" style="210" customWidth="1"/>
    <col min="12045" max="12045" width="9.1796875" style="210"/>
    <col min="12046" max="12046" width="14.1796875" style="210" customWidth="1"/>
    <col min="12047" max="12289" width="9.1796875" style="210"/>
    <col min="12290" max="12290" width="5.1796875" style="210" customWidth="1"/>
    <col min="12291" max="12291" width="40.1796875" style="210" customWidth="1"/>
    <col min="12292" max="12292" width="18.7265625" style="210" customWidth="1"/>
    <col min="12293" max="12293" width="14.7265625" style="210" customWidth="1"/>
    <col min="12294" max="12294" width="14.54296875" style="210" customWidth="1"/>
    <col min="12295" max="12295" width="11.7265625" style="210" customWidth="1"/>
    <col min="12296" max="12296" width="14.7265625" style="210" customWidth="1"/>
    <col min="12297" max="12298" width="12.26953125" style="210" customWidth="1"/>
    <col min="12299" max="12299" width="1.7265625" style="210" customWidth="1"/>
    <col min="12300" max="12300" width="2.1796875" style="210" customWidth="1"/>
    <col min="12301" max="12301" width="9.1796875" style="210"/>
    <col min="12302" max="12302" width="14.1796875" style="210" customWidth="1"/>
    <col min="12303" max="12545" width="9.1796875" style="210"/>
    <col min="12546" max="12546" width="5.1796875" style="210" customWidth="1"/>
    <col min="12547" max="12547" width="40.1796875" style="210" customWidth="1"/>
    <col min="12548" max="12548" width="18.7265625" style="210" customWidth="1"/>
    <col min="12549" max="12549" width="14.7265625" style="210" customWidth="1"/>
    <col min="12550" max="12550" width="14.54296875" style="210" customWidth="1"/>
    <col min="12551" max="12551" width="11.7265625" style="210" customWidth="1"/>
    <col min="12552" max="12552" width="14.7265625" style="210" customWidth="1"/>
    <col min="12553" max="12554" width="12.26953125" style="210" customWidth="1"/>
    <col min="12555" max="12555" width="1.7265625" style="210" customWidth="1"/>
    <col min="12556" max="12556" width="2.1796875" style="210" customWidth="1"/>
    <col min="12557" max="12557" width="9.1796875" style="210"/>
    <col min="12558" max="12558" width="14.1796875" style="210" customWidth="1"/>
    <col min="12559" max="12801" width="9.1796875" style="210"/>
    <col min="12802" max="12802" width="5.1796875" style="210" customWidth="1"/>
    <col min="12803" max="12803" width="40.1796875" style="210" customWidth="1"/>
    <col min="12804" max="12804" width="18.7265625" style="210" customWidth="1"/>
    <col min="12805" max="12805" width="14.7265625" style="210" customWidth="1"/>
    <col min="12806" max="12806" width="14.54296875" style="210" customWidth="1"/>
    <col min="12807" max="12807" width="11.7265625" style="210" customWidth="1"/>
    <col min="12808" max="12808" width="14.7265625" style="210" customWidth="1"/>
    <col min="12809" max="12810" width="12.26953125" style="210" customWidth="1"/>
    <col min="12811" max="12811" width="1.7265625" style="210" customWidth="1"/>
    <col min="12812" max="12812" width="2.1796875" style="210" customWidth="1"/>
    <col min="12813" max="12813" width="9.1796875" style="210"/>
    <col min="12814" max="12814" width="14.1796875" style="210" customWidth="1"/>
    <col min="12815" max="13057" width="9.1796875" style="210"/>
    <col min="13058" max="13058" width="5.1796875" style="210" customWidth="1"/>
    <col min="13059" max="13059" width="40.1796875" style="210" customWidth="1"/>
    <col min="13060" max="13060" width="18.7265625" style="210" customWidth="1"/>
    <col min="13061" max="13061" width="14.7265625" style="210" customWidth="1"/>
    <col min="13062" max="13062" width="14.54296875" style="210" customWidth="1"/>
    <col min="13063" max="13063" width="11.7265625" style="210" customWidth="1"/>
    <col min="13064" max="13064" width="14.7265625" style="210" customWidth="1"/>
    <col min="13065" max="13066" width="12.26953125" style="210" customWidth="1"/>
    <col min="13067" max="13067" width="1.7265625" style="210" customWidth="1"/>
    <col min="13068" max="13068" width="2.1796875" style="210" customWidth="1"/>
    <col min="13069" max="13069" width="9.1796875" style="210"/>
    <col min="13070" max="13070" width="14.1796875" style="210" customWidth="1"/>
    <col min="13071" max="13313" width="9.1796875" style="210"/>
    <col min="13314" max="13314" width="5.1796875" style="210" customWidth="1"/>
    <col min="13315" max="13315" width="40.1796875" style="210" customWidth="1"/>
    <col min="13316" max="13316" width="18.7265625" style="210" customWidth="1"/>
    <col min="13317" max="13317" width="14.7265625" style="210" customWidth="1"/>
    <col min="13318" max="13318" width="14.54296875" style="210" customWidth="1"/>
    <col min="13319" max="13319" width="11.7265625" style="210" customWidth="1"/>
    <col min="13320" max="13320" width="14.7265625" style="210" customWidth="1"/>
    <col min="13321" max="13322" width="12.26953125" style="210" customWidth="1"/>
    <col min="13323" max="13323" width="1.7265625" style="210" customWidth="1"/>
    <col min="13324" max="13324" width="2.1796875" style="210" customWidth="1"/>
    <col min="13325" max="13325" width="9.1796875" style="210"/>
    <col min="13326" max="13326" width="14.1796875" style="210" customWidth="1"/>
    <col min="13327" max="13569" width="9.1796875" style="210"/>
    <col min="13570" max="13570" width="5.1796875" style="210" customWidth="1"/>
    <col min="13571" max="13571" width="40.1796875" style="210" customWidth="1"/>
    <col min="13572" max="13572" width="18.7265625" style="210" customWidth="1"/>
    <col min="13573" max="13573" width="14.7265625" style="210" customWidth="1"/>
    <col min="13574" max="13574" width="14.54296875" style="210" customWidth="1"/>
    <col min="13575" max="13575" width="11.7265625" style="210" customWidth="1"/>
    <col min="13576" max="13576" width="14.7265625" style="210" customWidth="1"/>
    <col min="13577" max="13578" width="12.26953125" style="210" customWidth="1"/>
    <col min="13579" max="13579" width="1.7265625" style="210" customWidth="1"/>
    <col min="13580" max="13580" width="2.1796875" style="210" customWidth="1"/>
    <col min="13581" max="13581" width="9.1796875" style="210"/>
    <col min="13582" max="13582" width="14.1796875" style="210" customWidth="1"/>
    <col min="13583" max="13825" width="9.1796875" style="210"/>
    <col min="13826" max="13826" width="5.1796875" style="210" customWidth="1"/>
    <col min="13827" max="13827" width="40.1796875" style="210" customWidth="1"/>
    <col min="13828" max="13828" width="18.7265625" style="210" customWidth="1"/>
    <col min="13829" max="13829" width="14.7265625" style="210" customWidth="1"/>
    <col min="13830" max="13830" width="14.54296875" style="210" customWidth="1"/>
    <col min="13831" max="13831" width="11.7265625" style="210" customWidth="1"/>
    <col min="13832" max="13832" width="14.7265625" style="210" customWidth="1"/>
    <col min="13833" max="13834" width="12.26953125" style="210" customWidth="1"/>
    <col min="13835" max="13835" width="1.7265625" style="210" customWidth="1"/>
    <col min="13836" max="13836" width="2.1796875" style="210" customWidth="1"/>
    <col min="13837" max="13837" width="9.1796875" style="210"/>
    <col min="13838" max="13838" width="14.1796875" style="210" customWidth="1"/>
    <col min="13839" max="14081" width="9.1796875" style="210"/>
    <col min="14082" max="14082" width="5.1796875" style="210" customWidth="1"/>
    <col min="14083" max="14083" width="40.1796875" style="210" customWidth="1"/>
    <col min="14084" max="14084" width="18.7265625" style="210" customWidth="1"/>
    <col min="14085" max="14085" width="14.7265625" style="210" customWidth="1"/>
    <col min="14086" max="14086" width="14.54296875" style="210" customWidth="1"/>
    <col min="14087" max="14087" width="11.7265625" style="210" customWidth="1"/>
    <col min="14088" max="14088" width="14.7265625" style="210" customWidth="1"/>
    <col min="14089" max="14090" width="12.26953125" style="210" customWidth="1"/>
    <col min="14091" max="14091" width="1.7265625" style="210" customWidth="1"/>
    <col min="14092" max="14092" width="2.1796875" style="210" customWidth="1"/>
    <col min="14093" max="14093" width="9.1796875" style="210"/>
    <col min="14094" max="14094" width="14.1796875" style="210" customWidth="1"/>
    <col min="14095" max="14337" width="9.1796875" style="210"/>
    <col min="14338" max="14338" width="5.1796875" style="210" customWidth="1"/>
    <col min="14339" max="14339" width="40.1796875" style="210" customWidth="1"/>
    <col min="14340" max="14340" width="18.7265625" style="210" customWidth="1"/>
    <col min="14341" max="14341" width="14.7265625" style="210" customWidth="1"/>
    <col min="14342" max="14342" width="14.54296875" style="210" customWidth="1"/>
    <col min="14343" max="14343" width="11.7265625" style="210" customWidth="1"/>
    <col min="14344" max="14344" width="14.7265625" style="210" customWidth="1"/>
    <col min="14345" max="14346" width="12.26953125" style="210" customWidth="1"/>
    <col min="14347" max="14347" width="1.7265625" style="210" customWidth="1"/>
    <col min="14348" max="14348" width="2.1796875" style="210" customWidth="1"/>
    <col min="14349" max="14349" width="9.1796875" style="210"/>
    <col min="14350" max="14350" width="14.1796875" style="210" customWidth="1"/>
    <col min="14351" max="14593" width="9.1796875" style="210"/>
    <col min="14594" max="14594" width="5.1796875" style="210" customWidth="1"/>
    <col min="14595" max="14595" width="40.1796875" style="210" customWidth="1"/>
    <col min="14596" max="14596" width="18.7265625" style="210" customWidth="1"/>
    <col min="14597" max="14597" width="14.7265625" style="210" customWidth="1"/>
    <col min="14598" max="14598" width="14.54296875" style="210" customWidth="1"/>
    <col min="14599" max="14599" width="11.7265625" style="210" customWidth="1"/>
    <col min="14600" max="14600" width="14.7265625" style="210" customWidth="1"/>
    <col min="14601" max="14602" width="12.26953125" style="210" customWidth="1"/>
    <col min="14603" max="14603" width="1.7265625" style="210" customWidth="1"/>
    <col min="14604" max="14604" width="2.1796875" style="210" customWidth="1"/>
    <col min="14605" max="14605" width="9.1796875" style="210"/>
    <col min="14606" max="14606" width="14.1796875" style="210" customWidth="1"/>
    <col min="14607" max="14849" width="9.1796875" style="210"/>
    <col min="14850" max="14850" width="5.1796875" style="210" customWidth="1"/>
    <col min="14851" max="14851" width="40.1796875" style="210" customWidth="1"/>
    <col min="14852" max="14852" width="18.7265625" style="210" customWidth="1"/>
    <col min="14853" max="14853" width="14.7265625" style="210" customWidth="1"/>
    <col min="14854" max="14854" width="14.54296875" style="210" customWidth="1"/>
    <col min="14855" max="14855" width="11.7265625" style="210" customWidth="1"/>
    <col min="14856" max="14856" width="14.7265625" style="210" customWidth="1"/>
    <col min="14857" max="14858" width="12.26953125" style="210" customWidth="1"/>
    <col min="14859" max="14859" width="1.7265625" style="210" customWidth="1"/>
    <col min="14860" max="14860" width="2.1796875" style="210" customWidth="1"/>
    <col min="14861" max="14861" width="9.1796875" style="210"/>
    <col min="14862" max="14862" width="14.1796875" style="210" customWidth="1"/>
    <col min="14863" max="15105" width="9.1796875" style="210"/>
    <col min="15106" max="15106" width="5.1796875" style="210" customWidth="1"/>
    <col min="15107" max="15107" width="40.1796875" style="210" customWidth="1"/>
    <col min="15108" max="15108" width="18.7265625" style="210" customWidth="1"/>
    <col min="15109" max="15109" width="14.7265625" style="210" customWidth="1"/>
    <col min="15110" max="15110" width="14.54296875" style="210" customWidth="1"/>
    <col min="15111" max="15111" width="11.7265625" style="210" customWidth="1"/>
    <col min="15112" max="15112" width="14.7265625" style="210" customWidth="1"/>
    <col min="15113" max="15114" width="12.26953125" style="210" customWidth="1"/>
    <col min="15115" max="15115" width="1.7265625" style="210" customWidth="1"/>
    <col min="15116" max="15116" width="2.1796875" style="210" customWidth="1"/>
    <col min="15117" max="15117" width="9.1796875" style="210"/>
    <col min="15118" max="15118" width="14.1796875" style="210" customWidth="1"/>
    <col min="15119" max="15361" width="9.1796875" style="210"/>
    <col min="15362" max="15362" width="5.1796875" style="210" customWidth="1"/>
    <col min="15363" max="15363" width="40.1796875" style="210" customWidth="1"/>
    <col min="15364" max="15364" width="18.7265625" style="210" customWidth="1"/>
    <col min="15365" max="15365" width="14.7265625" style="210" customWidth="1"/>
    <col min="15366" max="15366" width="14.54296875" style="210" customWidth="1"/>
    <col min="15367" max="15367" width="11.7265625" style="210" customWidth="1"/>
    <col min="15368" max="15368" width="14.7265625" style="210" customWidth="1"/>
    <col min="15369" max="15370" width="12.26953125" style="210" customWidth="1"/>
    <col min="15371" max="15371" width="1.7265625" style="210" customWidth="1"/>
    <col min="15372" max="15372" width="2.1796875" style="210" customWidth="1"/>
    <col min="15373" max="15373" width="9.1796875" style="210"/>
    <col min="15374" max="15374" width="14.1796875" style="210" customWidth="1"/>
    <col min="15375" max="15617" width="9.1796875" style="210"/>
    <col min="15618" max="15618" width="5.1796875" style="210" customWidth="1"/>
    <col min="15619" max="15619" width="40.1796875" style="210" customWidth="1"/>
    <col min="15620" max="15620" width="18.7265625" style="210" customWidth="1"/>
    <col min="15621" max="15621" width="14.7265625" style="210" customWidth="1"/>
    <col min="15622" max="15622" width="14.54296875" style="210" customWidth="1"/>
    <col min="15623" max="15623" width="11.7265625" style="210" customWidth="1"/>
    <col min="15624" max="15624" width="14.7265625" style="210" customWidth="1"/>
    <col min="15625" max="15626" width="12.26953125" style="210" customWidth="1"/>
    <col min="15627" max="15627" width="1.7265625" style="210" customWidth="1"/>
    <col min="15628" max="15628" width="2.1796875" style="210" customWidth="1"/>
    <col min="15629" max="15629" width="9.1796875" style="210"/>
    <col min="15630" max="15630" width="14.1796875" style="210" customWidth="1"/>
    <col min="15631" max="15873" width="9.1796875" style="210"/>
    <col min="15874" max="15874" width="5.1796875" style="210" customWidth="1"/>
    <col min="15875" max="15875" width="40.1796875" style="210" customWidth="1"/>
    <col min="15876" max="15876" width="18.7265625" style="210" customWidth="1"/>
    <col min="15877" max="15877" width="14.7265625" style="210" customWidth="1"/>
    <col min="15878" max="15878" width="14.54296875" style="210" customWidth="1"/>
    <col min="15879" max="15879" width="11.7265625" style="210" customWidth="1"/>
    <col min="15880" max="15880" width="14.7265625" style="210" customWidth="1"/>
    <col min="15881" max="15882" width="12.26953125" style="210" customWidth="1"/>
    <col min="15883" max="15883" width="1.7265625" style="210" customWidth="1"/>
    <col min="15884" max="15884" width="2.1796875" style="210" customWidth="1"/>
    <col min="15885" max="15885" width="9.1796875" style="210"/>
    <col min="15886" max="15886" width="14.1796875" style="210" customWidth="1"/>
    <col min="15887" max="16129" width="9.1796875" style="210"/>
    <col min="16130" max="16130" width="5.1796875" style="210" customWidth="1"/>
    <col min="16131" max="16131" width="40.1796875" style="210" customWidth="1"/>
    <col min="16132" max="16132" width="18.7265625" style="210" customWidth="1"/>
    <col min="16133" max="16133" width="14.7265625" style="210" customWidth="1"/>
    <col min="16134" max="16134" width="14.54296875" style="210" customWidth="1"/>
    <col min="16135" max="16135" width="11.7265625" style="210" customWidth="1"/>
    <col min="16136" max="16136" width="14.7265625" style="210" customWidth="1"/>
    <col min="16137" max="16138" width="12.26953125" style="210" customWidth="1"/>
    <col min="16139" max="16139" width="1.7265625" style="210" customWidth="1"/>
    <col min="16140" max="16140" width="2.1796875" style="210" customWidth="1"/>
    <col min="16141" max="16141" width="9.1796875" style="210"/>
    <col min="16142" max="16142" width="14.1796875" style="210" customWidth="1"/>
    <col min="16143" max="16384" width="9.1796875" style="210"/>
  </cols>
  <sheetData>
    <row r="1" spans="1:14" s="206" customFormat="1" x14ac:dyDescent="0.3">
      <c r="B1" s="206" t="s">
        <v>365</v>
      </c>
      <c r="C1" s="207">
        <f>1.0138*1.0182*1.0293*1.0309</f>
        <v>1.0953272490647292</v>
      </c>
    </row>
    <row r="2" spans="1:14" s="206" customFormat="1" x14ac:dyDescent="0.3">
      <c r="B2" s="206" t="s">
        <v>366</v>
      </c>
      <c r="C2" s="207">
        <f>1.0407*1.0223*1.004*1.0138*1.0182*1.0293*1.0309</f>
        <v>1.1699883037032122</v>
      </c>
    </row>
    <row r="3" spans="1:14" s="206" customFormat="1" x14ac:dyDescent="0.3">
      <c r="B3" s="206" t="s">
        <v>367</v>
      </c>
      <c r="C3" s="207">
        <f>1.0407*1.0223*1.004*1.0138*1.0182*1.0293*1.0309</f>
        <v>1.1699883037032122</v>
      </c>
    </row>
    <row r="4" spans="1:14" x14ac:dyDescent="0.3">
      <c r="A4" s="208"/>
      <c r="B4" s="208"/>
      <c r="C4" s="209"/>
      <c r="D4" s="208"/>
      <c r="E4" s="208"/>
      <c r="F4" s="208"/>
      <c r="G4" s="208"/>
      <c r="H4" s="208"/>
      <c r="I4" s="208"/>
      <c r="J4" s="208"/>
      <c r="K4" s="208"/>
    </row>
    <row r="5" spans="1:14" x14ac:dyDescent="0.3">
      <c r="A5" s="208"/>
      <c r="B5" s="590" t="s">
        <v>368</v>
      </c>
      <c r="C5" s="591"/>
      <c r="D5" s="591"/>
      <c r="E5" s="591"/>
      <c r="F5" s="591"/>
      <c r="G5" s="591"/>
      <c r="H5" s="591"/>
      <c r="I5" s="591"/>
      <c r="J5" s="592"/>
      <c r="K5" s="208"/>
    </row>
    <row r="6" spans="1:14" ht="15" customHeight="1" x14ac:dyDescent="0.3">
      <c r="A6" s="208"/>
      <c r="B6" s="211"/>
      <c r="C6" s="593" t="s">
        <v>21</v>
      </c>
      <c r="D6" s="593"/>
      <c r="E6" s="593"/>
      <c r="F6" s="593"/>
      <c r="G6" s="594"/>
      <c r="H6" s="299"/>
      <c r="I6" s="595" t="s">
        <v>369</v>
      </c>
      <c r="J6" s="596"/>
      <c r="K6" s="208"/>
    </row>
    <row r="7" spans="1:14" ht="42" x14ac:dyDescent="0.3">
      <c r="A7" s="208"/>
      <c r="B7" s="599"/>
      <c r="C7" s="212" t="s">
        <v>99</v>
      </c>
      <c r="D7" s="213" t="s">
        <v>98</v>
      </c>
      <c r="E7" s="213" t="s">
        <v>370</v>
      </c>
      <c r="F7" s="213" t="s">
        <v>371</v>
      </c>
      <c r="G7" s="213" t="s">
        <v>372</v>
      </c>
      <c r="H7" s="300"/>
      <c r="I7" s="597"/>
      <c r="J7" s="598"/>
      <c r="K7" s="208"/>
      <c r="M7" s="210" t="s">
        <v>284</v>
      </c>
      <c r="N7" s="214" t="s">
        <v>373</v>
      </c>
    </row>
    <row r="8" spans="1:14" x14ac:dyDescent="0.3">
      <c r="A8" s="208"/>
      <c r="B8" s="600"/>
      <c r="C8" s="215" t="s">
        <v>374</v>
      </c>
      <c r="D8" s="216" t="s">
        <v>374</v>
      </c>
      <c r="E8" s="216" t="s">
        <v>374</v>
      </c>
      <c r="F8" s="216" t="s">
        <v>374</v>
      </c>
      <c r="G8" s="216" t="s">
        <v>375</v>
      </c>
      <c r="H8" s="216"/>
      <c r="I8" s="216" t="s">
        <v>22</v>
      </c>
      <c r="J8" s="216" t="s">
        <v>376</v>
      </c>
      <c r="K8" s="208"/>
    </row>
    <row r="9" spans="1:14" x14ac:dyDescent="0.3">
      <c r="A9" s="208"/>
      <c r="B9" s="217" t="s">
        <v>23</v>
      </c>
      <c r="C9" s="216"/>
      <c r="D9" s="216"/>
      <c r="E9" s="216"/>
      <c r="F9" s="216"/>
      <c r="G9" s="216"/>
      <c r="H9" s="216"/>
      <c r="I9" s="216"/>
      <c r="J9" s="216"/>
      <c r="K9" s="208"/>
      <c r="M9" s="601" t="s">
        <v>377</v>
      </c>
      <c r="N9" s="602"/>
    </row>
    <row r="10" spans="1:14" x14ac:dyDescent="0.3">
      <c r="A10" s="208"/>
      <c r="B10" s="217" t="s">
        <v>378</v>
      </c>
      <c r="C10" s="218"/>
      <c r="D10" s="218"/>
      <c r="E10" s="218"/>
      <c r="F10" s="218"/>
      <c r="G10" s="218"/>
      <c r="H10" s="298"/>
      <c r="I10" s="218"/>
      <c r="J10" s="218"/>
      <c r="K10" s="208"/>
    </row>
    <row r="11" spans="1:14" x14ac:dyDescent="0.3">
      <c r="A11" s="208"/>
      <c r="B11" s="219" t="s">
        <v>379</v>
      </c>
      <c r="C11" s="220">
        <f>+ROUND(4202*$C$1,0)</f>
        <v>4603</v>
      </c>
      <c r="D11" s="221">
        <f>+ROUND(3037*$C$1,0)</f>
        <v>3327</v>
      </c>
      <c r="E11" s="221">
        <f>+ROUND(2566*$C$1,0)</f>
        <v>2811</v>
      </c>
      <c r="F11" s="221">
        <f>+ROUND(1785*$C$1,0)</f>
        <v>1955</v>
      </c>
      <c r="G11" s="221">
        <f>+ROUND(1363*$C$1,0)</f>
        <v>1493</v>
      </c>
      <c r="H11" s="221"/>
      <c r="I11" s="222">
        <f>+ROUND(2.37*$C$1,2)</f>
        <v>2.6</v>
      </c>
      <c r="J11" s="222">
        <f>+I11*10.7639104</f>
        <v>27.986167040000002</v>
      </c>
      <c r="K11" s="208"/>
      <c r="M11" s="223"/>
      <c r="N11" s="223"/>
    </row>
    <row r="12" spans="1:14" x14ac:dyDescent="0.3">
      <c r="A12" s="208"/>
      <c r="B12" s="219" t="s">
        <v>54</v>
      </c>
      <c r="C12" s="224">
        <f>+ROUND(3734*$C$1,0)</f>
        <v>4090</v>
      </c>
      <c r="D12" s="225">
        <f>+ROUND(2699*$C$1,0)</f>
        <v>2956</v>
      </c>
      <c r="E12" s="225">
        <f>+ROUND(2280*$C$1,0)</f>
        <v>2497</v>
      </c>
      <c r="F12" s="225">
        <f>+ROUND(1586*$C$1,0)</f>
        <v>1737</v>
      </c>
      <c r="G12" s="225">
        <f>+ROUND(1212*$C$1,0)</f>
        <v>1328</v>
      </c>
      <c r="H12" s="225"/>
      <c r="I12" s="226">
        <f>+ROUND(2.1*$C$1,2)</f>
        <v>2.2999999999999998</v>
      </c>
      <c r="J12" s="222">
        <f>+I12*10.7639104</f>
        <v>24.756993919999999</v>
      </c>
      <c r="K12" s="208"/>
      <c r="M12" s="223">
        <f>ROUND(+$I12*1,2)</f>
        <v>2.2999999999999998</v>
      </c>
      <c r="N12" s="223">
        <f>ROUND(+M12*0.75,2)</f>
        <v>1.73</v>
      </c>
    </row>
    <row r="13" spans="1:14" x14ac:dyDescent="0.3">
      <c r="A13" s="208"/>
      <c r="B13" s="219" t="s">
        <v>55</v>
      </c>
      <c r="C13" s="224">
        <f>+ROUND(4703*$C$1,0)</f>
        <v>5151</v>
      </c>
      <c r="D13" s="225">
        <f>+ROUND(3399*$C$1,0)</f>
        <v>3723</v>
      </c>
      <c r="E13" s="225">
        <f>+ROUND(2872*$C$1,0)</f>
        <v>3146</v>
      </c>
      <c r="F13" s="225">
        <f>+ROUND(1998*$C$1,0)</f>
        <v>2188</v>
      </c>
      <c r="G13" s="225">
        <f>+ROUND(1526*$C$1,0)</f>
        <v>1671</v>
      </c>
      <c r="H13" s="225"/>
      <c r="I13" s="226">
        <f>+ROUND(2.65*$C$1,2)</f>
        <v>2.9</v>
      </c>
      <c r="J13" s="222">
        <f>+I13*10.7639104</f>
        <v>31.21534016</v>
      </c>
      <c r="K13" s="208"/>
      <c r="M13" s="223">
        <f>ROUND(+$I13*1,2)</f>
        <v>2.9</v>
      </c>
      <c r="N13" s="223">
        <f>ROUND(+M13*0.75,2)</f>
        <v>2.1800000000000002</v>
      </c>
    </row>
    <row r="14" spans="1:14" ht="28.5" thickBot="1" x14ac:dyDescent="0.35">
      <c r="A14" s="208"/>
      <c r="B14" s="227" t="s">
        <v>380</v>
      </c>
      <c r="C14" s="228">
        <f>+ROUND(6450*$C$1,0)</f>
        <v>7065</v>
      </c>
      <c r="D14" s="228">
        <f>+ROUND(4662*$C$1,0)</f>
        <v>5106</v>
      </c>
      <c r="E14" s="228">
        <f>+ROUND(3938*$C$1,0)</f>
        <v>4313</v>
      </c>
      <c r="F14" s="228">
        <f>+ROUND(2740*$C$1,0)</f>
        <v>3001</v>
      </c>
      <c r="G14" s="228">
        <f>+ROUND(2093*$C$1,0)</f>
        <v>2293</v>
      </c>
      <c r="H14" s="228"/>
      <c r="I14" s="229">
        <f>+ROUND(1.29*$C$1,2)</f>
        <v>1.41</v>
      </c>
      <c r="J14" s="229">
        <f>+I14*10.7639104</f>
        <v>15.177113664</v>
      </c>
      <c r="K14" s="208"/>
      <c r="M14" s="230">
        <f>ROUND(+$I14*1,2)</f>
        <v>1.41</v>
      </c>
      <c r="N14" s="230">
        <f>ROUND(+M14*0.75,2)</f>
        <v>1.06</v>
      </c>
    </row>
    <row r="15" spans="1:14" x14ac:dyDescent="0.3">
      <c r="A15" s="208"/>
      <c r="B15" s="231" t="s">
        <v>381</v>
      </c>
      <c r="C15" s="232">
        <f t="shared" ref="C15:J15" si="0">SUM(C11:C14)</f>
        <v>20909</v>
      </c>
      <c r="D15" s="233">
        <f t="shared" si="0"/>
        <v>15112</v>
      </c>
      <c r="E15" s="233">
        <f t="shared" si="0"/>
        <v>12767</v>
      </c>
      <c r="F15" s="233">
        <f t="shared" si="0"/>
        <v>8881</v>
      </c>
      <c r="G15" s="233">
        <f t="shared" si="0"/>
        <v>6785</v>
      </c>
      <c r="H15" s="233"/>
      <c r="I15" s="234">
        <f t="shared" si="0"/>
        <v>9.2100000000000009</v>
      </c>
      <c r="J15" s="234">
        <f t="shared" si="0"/>
        <v>99.135614783999998</v>
      </c>
      <c r="K15" s="208"/>
      <c r="M15" s="234">
        <f>SUM(M11:M14)</f>
        <v>6.6099999999999994</v>
      </c>
      <c r="N15" s="234">
        <f>SUM(N11:N14)</f>
        <v>4.9700000000000006</v>
      </c>
    </row>
    <row r="16" spans="1:14" x14ac:dyDescent="0.3">
      <c r="A16" s="208"/>
      <c r="B16" s="235" t="s">
        <v>382</v>
      </c>
      <c r="C16" s="236"/>
      <c r="D16" s="237"/>
      <c r="E16" s="237"/>
      <c r="F16" s="237"/>
      <c r="G16" s="237"/>
      <c r="H16" s="237"/>
      <c r="I16" s="237"/>
      <c r="J16" s="237"/>
      <c r="K16" s="208"/>
      <c r="M16" s="237"/>
      <c r="N16" s="237"/>
    </row>
    <row r="17" spans="1:15" ht="14.5" thickBot="1" x14ac:dyDescent="0.35">
      <c r="A17" s="208"/>
      <c r="B17" s="219" t="s">
        <v>35</v>
      </c>
      <c r="C17" s="238">
        <f>+ROUND(8161*$C$1,0)</f>
        <v>8939</v>
      </c>
      <c r="D17" s="238">
        <f>+ROUND(5898*$C$1,0)</f>
        <v>6460</v>
      </c>
      <c r="E17" s="238">
        <f>+ROUND(4983*$C$1,0)</f>
        <v>5458</v>
      </c>
      <c r="F17" s="238">
        <f>+ROUND(3467*$C$1,0)</f>
        <v>3797</v>
      </c>
      <c r="G17" s="238">
        <f>+ROUND(2648*$C$1,0)</f>
        <v>2900</v>
      </c>
      <c r="H17" s="238"/>
      <c r="I17" s="239">
        <f>+ROUND(8.31*$C$1,2)</f>
        <v>9.1</v>
      </c>
      <c r="J17" s="239">
        <f>+I17*10.7639104</f>
        <v>97.951584639999993</v>
      </c>
      <c r="K17" s="208"/>
      <c r="M17" s="223">
        <f>ROUND(+$I17*0.65,2)</f>
        <v>5.92</v>
      </c>
      <c r="N17" s="230">
        <f>ROUND(+M17*0.75,2)</f>
        <v>4.4400000000000004</v>
      </c>
      <c r="O17" s="240"/>
    </row>
    <row r="18" spans="1:15" x14ac:dyDescent="0.3">
      <c r="A18" s="208"/>
      <c r="B18" s="219" t="s">
        <v>383</v>
      </c>
      <c r="C18" s="238">
        <f>+ROUND(304*$C$1,0)</f>
        <v>333</v>
      </c>
      <c r="D18" s="238">
        <f>+ROUND(220*$C$1,0)</f>
        <v>241</v>
      </c>
      <c r="E18" s="238">
        <f>+ROUND(186*$C$1,0)</f>
        <v>204</v>
      </c>
      <c r="F18" s="238">
        <f>+ROUND(129*$C$1,0)</f>
        <v>141</v>
      </c>
      <c r="G18" s="238">
        <f>+ROUND(99*$C$1,0)</f>
        <v>108</v>
      </c>
      <c r="H18" s="238"/>
      <c r="I18" s="239">
        <f>+ROUND(0.17*$C$1,2)</f>
        <v>0.19</v>
      </c>
      <c r="J18" s="239">
        <f t="shared" ref="J18:J34" si="1">+I18*10.7639104</f>
        <v>2.0451429760000002</v>
      </c>
      <c r="K18" s="208"/>
      <c r="M18" s="223"/>
      <c r="N18" s="223"/>
    </row>
    <row r="19" spans="1:15" x14ac:dyDescent="0.3">
      <c r="A19" s="208"/>
      <c r="B19" s="219" t="s">
        <v>36</v>
      </c>
      <c r="C19" s="238">
        <f>+ROUND(384*$C$1,0)</f>
        <v>421</v>
      </c>
      <c r="D19" s="238">
        <f>+ROUND(278*$C$1,0)</f>
        <v>305</v>
      </c>
      <c r="E19" s="238">
        <f>+ROUND(234*$C$1,0)</f>
        <v>256</v>
      </c>
      <c r="F19" s="238">
        <f>+ROUND(163*$C$1,0)</f>
        <v>179</v>
      </c>
      <c r="G19" s="238">
        <f>+ROUND(125*$C$1,0)</f>
        <v>137</v>
      </c>
      <c r="H19" s="238"/>
      <c r="I19" s="239">
        <f>+ROUND(0.21*$C$1,2)</f>
        <v>0.23</v>
      </c>
      <c r="J19" s="239">
        <f t="shared" si="1"/>
        <v>2.4756993920000001</v>
      </c>
      <c r="K19" s="208"/>
      <c r="M19" s="223"/>
      <c r="N19" s="223"/>
    </row>
    <row r="20" spans="1:15" x14ac:dyDescent="0.3">
      <c r="A20" s="208"/>
      <c r="B20" s="219" t="s">
        <v>37</v>
      </c>
      <c r="C20" s="238">
        <f>+ROUND(339*$C$1,0)</f>
        <v>371</v>
      </c>
      <c r="D20" s="238">
        <f>+ROUND(245*$C$1,0)</f>
        <v>268</v>
      </c>
      <c r="E20" s="238">
        <f>+ROUND(207*$C$1,0)</f>
        <v>227</v>
      </c>
      <c r="F20" s="238">
        <f>+ROUND(144*$C$1,0)</f>
        <v>158</v>
      </c>
      <c r="G20" s="238">
        <f>+ROUND(110*$C$1,0)</f>
        <v>120</v>
      </c>
      <c r="H20" s="238"/>
      <c r="I20" s="239">
        <f>+ROUND(0.19*$C$1,2)</f>
        <v>0.21</v>
      </c>
      <c r="J20" s="239">
        <f t="shared" si="1"/>
        <v>2.2604211840000001</v>
      </c>
      <c r="K20" s="208"/>
      <c r="M20" s="223"/>
      <c r="N20" s="223"/>
    </row>
    <row r="21" spans="1:15" x14ac:dyDescent="0.3">
      <c r="A21" s="208"/>
      <c r="B21" s="219" t="s">
        <v>38</v>
      </c>
      <c r="C21" s="238">
        <f>+ROUND(497*$C$1,0)</f>
        <v>544</v>
      </c>
      <c r="D21" s="238">
        <f>+ROUND(359*$C$1,0)</f>
        <v>393</v>
      </c>
      <c r="E21" s="238">
        <f>+ROUND(303*$C$1,0)</f>
        <v>332</v>
      </c>
      <c r="F21" s="238">
        <f>+ROUND(211*$C$1,0)</f>
        <v>231</v>
      </c>
      <c r="G21" s="238">
        <f>+ROUND(161*$C$1,0)</f>
        <v>176</v>
      </c>
      <c r="H21" s="238"/>
      <c r="I21" s="239">
        <f>+ROUND(0.31*$C$1,2)</f>
        <v>0.34</v>
      </c>
      <c r="J21" s="239">
        <f t="shared" si="1"/>
        <v>3.6597295360000004</v>
      </c>
      <c r="K21" s="208"/>
      <c r="M21" s="223"/>
      <c r="N21" s="223"/>
    </row>
    <row r="22" spans="1:15" x14ac:dyDescent="0.3">
      <c r="A22" s="208"/>
      <c r="B22" s="219" t="s">
        <v>39</v>
      </c>
      <c r="C22" s="238">
        <f>+ROUND(1350*$C$1,0)</f>
        <v>1479</v>
      </c>
      <c r="D22" s="238">
        <f>+ROUND(976*$C$1,0)</f>
        <v>1069</v>
      </c>
      <c r="E22" s="238">
        <f>+ROUND(824*$C$1,0)</f>
        <v>903</v>
      </c>
      <c r="F22" s="238">
        <f>+ROUND(573*$C$1,0)</f>
        <v>628</v>
      </c>
      <c r="G22" s="238">
        <f>+ROUND(438*$C$1,0)</f>
        <v>480</v>
      </c>
      <c r="H22" s="238"/>
      <c r="I22" s="239">
        <f>+ROUND(0.1*$C$1,2)</f>
        <v>0.11</v>
      </c>
      <c r="J22" s="239">
        <f t="shared" si="1"/>
        <v>1.1840301440000001</v>
      </c>
      <c r="K22" s="208"/>
      <c r="M22" s="223"/>
      <c r="N22" s="223"/>
    </row>
    <row r="23" spans="1:15" x14ac:dyDescent="0.3">
      <c r="A23" s="208"/>
      <c r="B23" s="219" t="s">
        <v>40</v>
      </c>
      <c r="C23" s="238">
        <f>+ROUND(2073*$C$1,0)</f>
        <v>2271</v>
      </c>
      <c r="D23" s="238">
        <f>+ROUND(1498*$C$1,0)</f>
        <v>1641</v>
      </c>
      <c r="E23" s="238">
        <f>+ROUND(1266*$C$1,0)</f>
        <v>1387</v>
      </c>
      <c r="F23" s="238">
        <f>+ROUND(881*$C$1,0)</f>
        <v>965</v>
      </c>
      <c r="G23" s="238">
        <f>+ROUND(673*$C$1,0)</f>
        <v>737</v>
      </c>
      <c r="H23" s="238"/>
      <c r="I23" s="239">
        <f>+ROUND(0.15*$C$1,2)</f>
        <v>0.16</v>
      </c>
      <c r="J23" s="239">
        <f t="shared" si="1"/>
        <v>1.722225664</v>
      </c>
      <c r="K23" s="208"/>
      <c r="M23" s="223"/>
      <c r="N23" s="223"/>
    </row>
    <row r="24" spans="1:15" x14ac:dyDescent="0.3">
      <c r="A24" s="208"/>
      <c r="B24" s="219" t="s">
        <v>41</v>
      </c>
      <c r="C24" s="238">
        <f>+ROUND(586*$C$1,0)</f>
        <v>642</v>
      </c>
      <c r="D24" s="238">
        <f>+ROUND(424*$C$1,0)</f>
        <v>464</v>
      </c>
      <c r="E24" s="238">
        <f>+ROUND(358*$C$1,0)</f>
        <v>392</v>
      </c>
      <c r="F24" s="238">
        <f>+ROUND(249*$C$1,0)</f>
        <v>273</v>
      </c>
      <c r="G24" s="238">
        <f>+ROUND(190*$C$1,0)</f>
        <v>208</v>
      </c>
      <c r="H24" s="238"/>
      <c r="I24" s="239">
        <f>+ROUND(0.04*$C$1,2)</f>
        <v>0.04</v>
      </c>
      <c r="J24" s="239">
        <f t="shared" si="1"/>
        <v>0.430556416</v>
      </c>
      <c r="K24" s="208"/>
      <c r="M24" s="223"/>
      <c r="N24" s="223"/>
    </row>
    <row r="25" spans="1:15" x14ac:dyDescent="0.3">
      <c r="A25" s="208"/>
      <c r="B25" s="219" t="s">
        <v>42</v>
      </c>
      <c r="C25" s="238">
        <f>+ROUND(726*$C$1,0)</f>
        <v>795</v>
      </c>
      <c r="D25" s="238">
        <f>+ROUND(525*$C$1,0)</f>
        <v>575</v>
      </c>
      <c r="E25" s="238">
        <f>+ROUND(443*$C$1,0)</f>
        <v>485</v>
      </c>
      <c r="F25" s="238">
        <f>+ROUND(308*$C$1,0)</f>
        <v>337</v>
      </c>
      <c r="G25" s="238">
        <f>+ROUND(236*$C$1,0)</f>
        <v>258</v>
      </c>
      <c r="H25" s="238"/>
      <c r="I25" s="239">
        <f>+ROUND(0.44*$C$1,2)</f>
        <v>0.48</v>
      </c>
      <c r="J25" s="239">
        <f t="shared" si="1"/>
        <v>5.1666769920000002</v>
      </c>
      <c r="K25" s="208"/>
      <c r="M25" s="223"/>
      <c r="N25" s="223"/>
    </row>
    <row r="26" spans="1:15" x14ac:dyDescent="0.3">
      <c r="A26" s="208"/>
      <c r="B26" s="219" t="s">
        <v>43</v>
      </c>
      <c r="C26" s="238">
        <f>+ROUND(36*$C$1,0)</f>
        <v>39</v>
      </c>
      <c r="D26" s="238">
        <f>+ROUND(26*$C$1,0)</f>
        <v>28</v>
      </c>
      <c r="E26" s="238">
        <f>+ROUND(22*$C$1,0)</f>
        <v>24</v>
      </c>
      <c r="F26" s="238">
        <f>+ROUND(15*$C$1,0)</f>
        <v>16</v>
      </c>
      <c r="G26" s="238">
        <f>+ROUND(12*$C$1,0)</f>
        <v>13</v>
      </c>
      <c r="H26" s="238"/>
      <c r="I26" s="239">
        <f>+ROUND(0.02*$C$1,2)</f>
        <v>0.02</v>
      </c>
      <c r="J26" s="239">
        <f t="shared" si="1"/>
        <v>0.215278208</v>
      </c>
      <c r="K26" s="208"/>
      <c r="M26" s="223"/>
      <c r="N26" s="223"/>
    </row>
    <row r="27" spans="1:15" x14ac:dyDescent="0.3">
      <c r="A27" s="208"/>
      <c r="B27" s="219" t="s">
        <v>44</v>
      </c>
      <c r="C27" s="238">
        <f>+ROUND(235*$C$1,0)</f>
        <v>257</v>
      </c>
      <c r="D27" s="238">
        <f>+ROUND(170*$C$1,0)</f>
        <v>186</v>
      </c>
      <c r="E27" s="238">
        <f>+ROUND(143*$C$1,0)</f>
        <v>157</v>
      </c>
      <c r="F27" s="238">
        <f>+ROUND(100*$C$1,0)</f>
        <v>110</v>
      </c>
      <c r="G27" s="238">
        <f>+ROUND(76*$C$1,0)</f>
        <v>83</v>
      </c>
      <c r="H27" s="238"/>
      <c r="I27" s="239">
        <f>+ROUND(0.04*$C$1,2)</f>
        <v>0.04</v>
      </c>
      <c r="J27" s="239">
        <f t="shared" si="1"/>
        <v>0.430556416</v>
      </c>
      <c r="K27" s="208"/>
      <c r="M27" s="223"/>
      <c r="N27" s="223"/>
    </row>
    <row r="28" spans="1:15" x14ac:dyDescent="0.3">
      <c r="A28" s="208"/>
      <c r="B28" s="219" t="s">
        <v>45</v>
      </c>
      <c r="C28" s="238">
        <f>+ROUND(26*$C$1,0)</f>
        <v>28</v>
      </c>
      <c r="D28" s="238">
        <f>+ROUND(19*$C$1,0)</f>
        <v>21</v>
      </c>
      <c r="E28" s="238">
        <f>+ROUND(16*$C$1,0)</f>
        <v>18</v>
      </c>
      <c r="F28" s="238">
        <f>+ROUND(11*$C$1,0)</f>
        <v>12</v>
      </c>
      <c r="G28" s="238">
        <f>+ROUND(8*$C$1,0)</f>
        <v>9</v>
      </c>
      <c r="H28" s="238"/>
      <c r="I28" s="239">
        <f>+ROUND(0*$C$1,2)</f>
        <v>0</v>
      </c>
      <c r="J28" s="239">
        <f t="shared" si="1"/>
        <v>0</v>
      </c>
      <c r="K28" s="208"/>
      <c r="M28" s="223"/>
      <c r="N28" s="223"/>
    </row>
    <row r="29" spans="1:15" x14ac:dyDescent="0.3">
      <c r="A29" s="208"/>
      <c r="B29" s="219" t="s">
        <v>46</v>
      </c>
      <c r="C29" s="238">
        <f>+ROUND(28*$C$1,0)</f>
        <v>31</v>
      </c>
      <c r="D29" s="238">
        <f>+ROUND(20*$C$1,0)</f>
        <v>22</v>
      </c>
      <c r="E29" s="238">
        <f>+ROUND(17*$C$1,0)</f>
        <v>19</v>
      </c>
      <c r="F29" s="238">
        <f>+ROUND(12*$C$1,0)</f>
        <v>13</v>
      </c>
      <c r="G29" s="238">
        <f>+ROUND(9*$C$1,0)</f>
        <v>10</v>
      </c>
      <c r="H29" s="238"/>
      <c r="I29" s="239">
        <f>+ROUND(0*$C$1,2)</f>
        <v>0</v>
      </c>
      <c r="J29" s="239">
        <f t="shared" si="1"/>
        <v>0</v>
      </c>
      <c r="K29" s="208"/>
      <c r="M29" s="223"/>
      <c r="N29" s="223"/>
    </row>
    <row r="30" spans="1:15" x14ac:dyDescent="0.3">
      <c r="A30" s="208"/>
      <c r="B30" s="219" t="s">
        <v>47</v>
      </c>
      <c r="C30" s="238">
        <f>+ROUND(532*$C$1,0)</f>
        <v>583</v>
      </c>
      <c r="D30" s="238">
        <f>+ROUND(384*$C$1,0)</f>
        <v>421</v>
      </c>
      <c r="E30" s="238">
        <f>+ROUND(325*$C$1,0)</f>
        <v>356</v>
      </c>
      <c r="F30" s="238">
        <f>+ROUND(226*$C$1,0)</f>
        <v>248</v>
      </c>
      <c r="G30" s="238">
        <f>+ROUND(173*$C$1,0)</f>
        <v>189</v>
      </c>
      <c r="H30" s="238"/>
      <c r="I30" s="239">
        <f>+ROUND(0*$C$1,2)</f>
        <v>0</v>
      </c>
      <c r="J30" s="239">
        <f t="shared" si="1"/>
        <v>0</v>
      </c>
      <c r="K30" s="208"/>
      <c r="M30" s="223"/>
      <c r="N30" s="223"/>
    </row>
    <row r="31" spans="1:15" x14ac:dyDescent="0.3">
      <c r="A31" s="208"/>
      <c r="B31" s="219" t="s">
        <v>48</v>
      </c>
      <c r="C31" s="238">
        <f>+ROUND(238*$C$1,0)</f>
        <v>261</v>
      </c>
      <c r="D31" s="238">
        <f>+ROUND(172*$C$1,0)</f>
        <v>188</v>
      </c>
      <c r="E31" s="238">
        <f>+ROUND(145*$C$1,0)</f>
        <v>159</v>
      </c>
      <c r="F31" s="238">
        <f>+ROUND(101*$C$1,0)</f>
        <v>111</v>
      </c>
      <c r="G31" s="238">
        <f>+ROUND(77*$C$1,0)</f>
        <v>84</v>
      </c>
      <c r="H31" s="238"/>
      <c r="I31" s="239">
        <f>+ROUND(0.15*$C$1,2)</f>
        <v>0.16</v>
      </c>
      <c r="J31" s="239">
        <f t="shared" si="1"/>
        <v>1.722225664</v>
      </c>
      <c r="K31" s="208"/>
      <c r="M31" s="223"/>
      <c r="N31" s="223"/>
    </row>
    <row r="32" spans="1:15" x14ac:dyDescent="0.3">
      <c r="A32" s="208"/>
      <c r="B32" s="219" t="s">
        <v>49</v>
      </c>
      <c r="C32" s="238">
        <f>+ROUND(334*$C$1,0)</f>
        <v>366</v>
      </c>
      <c r="D32" s="238">
        <f>+ROUND(241*$C$1,0)</f>
        <v>264</v>
      </c>
      <c r="E32" s="238">
        <f>+ROUND(204*$C$1,0)</f>
        <v>223</v>
      </c>
      <c r="F32" s="238">
        <f>+ROUND(142*$C$1,0)</f>
        <v>156</v>
      </c>
      <c r="G32" s="238">
        <f>+ROUND(108*$C$1,0)</f>
        <v>118</v>
      </c>
      <c r="H32" s="238"/>
      <c r="I32" s="239">
        <f>+ROUND(0.2*$C$1,2)</f>
        <v>0.22</v>
      </c>
      <c r="J32" s="239">
        <f t="shared" si="1"/>
        <v>2.3680602880000001</v>
      </c>
      <c r="K32" s="208"/>
      <c r="M32" s="223"/>
      <c r="N32" s="223"/>
    </row>
    <row r="33" spans="1:15" x14ac:dyDescent="0.3">
      <c r="A33" s="208"/>
      <c r="B33" s="219" t="s">
        <v>384</v>
      </c>
      <c r="C33" s="238">
        <f>+ROUND(23*$C$1,0)</f>
        <v>25</v>
      </c>
      <c r="D33" s="238">
        <f>+ROUND(17*$C$1,0)</f>
        <v>19</v>
      </c>
      <c r="E33" s="238">
        <f>+ROUND(14*$C$1,0)</f>
        <v>15</v>
      </c>
      <c r="F33" s="238">
        <f>+ROUND(10*$C$1,0)</f>
        <v>11</v>
      </c>
      <c r="G33" s="238">
        <f>+ROUND(7*$C$1,0)</f>
        <v>8</v>
      </c>
      <c r="H33" s="238"/>
      <c r="I33" s="239">
        <f>+ROUND(0.01*$C$1,2)</f>
        <v>0.01</v>
      </c>
      <c r="J33" s="239">
        <f t="shared" si="1"/>
        <v>0.107639104</v>
      </c>
      <c r="K33" s="208"/>
      <c r="M33" s="223"/>
      <c r="N33" s="223"/>
    </row>
    <row r="34" spans="1:15" ht="14.5" thickBot="1" x14ac:dyDescent="0.35">
      <c r="A34" s="208"/>
      <c r="B34" s="219" t="s">
        <v>385</v>
      </c>
      <c r="C34" s="241">
        <f>+ROUND(22*$C$1,0)</f>
        <v>24</v>
      </c>
      <c r="D34" s="241">
        <f>+ROUND(16*$C$1,0)</f>
        <v>18</v>
      </c>
      <c r="E34" s="241">
        <f>+ROUND(13*$C$1,0)</f>
        <v>14</v>
      </c>
      <c r="F34" s="241">
        <f>+ROUND(9*$C$1,0)</f>
        <v>10</v>
      </c>
      <c r="G34" s="241">
        <f>+ROUND(7*$C$1,0)</f>
        <v>8</v>
      </c>
      <c r="H34" s="241"/>
      <c r="I34" s="242">
        <f>+ROUND(0.02*$C$1,2)</f>
        <v>0.02</v>
      </c>
      <c r="J34" s="242">
        <f t="shared" si="1"/>
        <v>0.215278208</v>
      </c>
      <c r="K34" s="208"/>
      <c r="M34" s="230"/>
      <c r="N34" s="230"/>
    </row>
    <row r="35" spans="1:15" x14ac:dyDescent="0.3">
      <c r="A35" s="208"/>
      <c r="B35" s="243" t="s">
        <v>56</v>
      </c>
      <c r="C35" s="244">
        <f t="shared" ref="C35:J35" si="2">SUM(C17:C34)</f>
        <v>17409</v>
      </c>
      <c r="D35" s="244">
        <f>SUM(D17:D34)</f>
        <v>12583</v>
      </c>
      <c r="E35" s="244">
        <f>SUM(E17:E34)</f>
        <v>10629</v>
      </c>
      <c r="F35" s="244">
        <f t="shared" si="2"/>
        <v>7396</v>
      </c>
      <c r="G35" s="244">
        <f t="shared" si="2"/>
        <v>5646</v>
      </c>
      <c r="H35" s="244"/>
      <c r="I35" s="245">
        <f t="shared" si="2"/>
        <v>11.329999999999998</v>
      </c>
      <c r="J35" s="245">
        <f t="shared" si="2"/>
        <v>121.955104832</v>
      </c>
      <c r="K35" s="208"/>
      <c r="M35" s="245">
        <f>SUM(M17:M34)</f>
        <v>5.92</v>
      </c>
      <c r="N35" s="245">
        <f>SUM(N17:N34)</f>
        <v>4.4400000000000004</v>
      </c>
    </row>
    <row r="36" spans="1:15" x14ac:dyDescent="0.3">
      <c r="A36" s="208"/>
      <c r="B36" s="243"/>
      <c r="C36" s="246"/>
      <c r="D36" s="246"/>
      <c r="E36" s="246"/>
      <c r="F36" s="246"/>
      <c r="G36" s="246"/>
      <c r="H36" s="246"/>
      <c r="I36" s="247"/>
      <c r="J36" s="247"/>
      <c r="K36" s="208"/>
      <c r="M36" s="247"/>
      <c r="N36" s="247"/>
    </row>
    <row r="37" spans="1:15" x14ac:dyDescent="0.3">
      <c r="A37" s="208"/>
      <c r="B37" s="248" t="s">
        <v>386</v>
      </c>
      <c r="C37" s="249">
        <f>+C15+C35</f>
        <v>38318</v>
      </c>
      <c r="D37" s="249">
        <f t="shared" ref="D37:J37" si="3">+D15+D35</f>
        <v>27695</v>
      </c>
      <c r="E37" s="249">
        <f>+E15+E35</f>
        <v>23396</v>
      </c>
      <c r="F37" s="249">
        <f t="shared" si="3"/>
        <v>16277</v>
      </c>
      <c r="G37" s="249">
        <f t="shared" si="3"/>
        <v>12431</v>
      </c>
      <c r="H37" s="249"/>
      <c r="I37" s="250">
        <f t="shared" si="3"/>
        <v>20.54</v>
      </c>
      <c r="J37" s="250">
        <f t="shared" si="3"/>
        <v>221.090719616</v>
      </c>
      <c r="K37" s="208"/>
      <c r="M37" s="251">
        <f>+M15+M35</f>
        <v>12.53</v>
      </c>
      <c r="N37" s="251">
        <f>+N15+N35</f>
        <v>9.41</v>
      </c>
      <c r="O37" s="240"/>
    </row>
    <row r="38" spans="1:15" x14ac:dyDescent="0.3">
      <c r="A38" s="208"/>
      <c r="B38" s="252" t="s">
        <v>24</v>
      </c>
      <c r="C38" s="253"/>
      <c r="D38" s="253"/>
      <c r="E38" s="253"/>
      <c r="F38" s="253"/>
      <c r="G38" s="253"/>
      <c r="H38" s="253"/>
      <c r="I38" s="251"/>
      <c r="J38" s="251"/>
      <c r="K38" s="208"/>
      <c r="N38" s="240"/>
    </row>
    <row r="39" spans="1:15" x14ac:dyDescent="0.3">
      <c r="A39" s="208"/>
      <c r="B39" s="219" t="s">
        <v>387</v>
      </c>
      <c r="C39" s="254">
        <f>+ROUND(215*$C$2,0)</f>
        <v>252</v>
      </c>
      <c r="D39" s="254">
        <f>+ROUND(154*$C$2,0)</f>
        <v>180</v>
      </c>
      <c r="E39" s="254">
        <f>+ROUND(133*$C$2,0)</f>
        <v>156</v>
      </c>
      <c r="F39" s="254">
        <f>+ROUND(89*$C$2,0)</f>
        <v>104</v>
      </c>
      <c r="G39" s="254">
        <f>+ROUND(70*$C$2,0)</f>
        <v>82</v>
      </c>
      <c r="H39" s="254"/>
      <c r="I39" s="223">
        <v>0</v>
      </c>
      <c r="J39" s="223">
        <v>0</v>
      </c>
      <c r="K39" s="208"/>
    </row>
    <row r="40" spans="1:15" x14ac:dyDescent="0.3">
      <c r="A40" s="208"/>
      <c r="B40" s="219" t="s">
        <v>388</v>
      </c>
      <c r="C40" s="224">
        <v>1039</v>
      </c>
      <c r="D40" s="224">
        <v>1039</v>
      </c>
      <c r="E40" s="224">
        <v>1039</v>
      </c>
      <c r="F40" s="224">
        <v>1039</v>
      </c>
      <c r="G40" s="224">
        <v>1039</v>
      </c>
      <c r="H40" s="224"/>
      <c r="I40" s="226">
        <v>0.39</v>
      </c>
      <c r="J40" s="255">
        <f>+I40*10.7639104</f>
        <v>4.1979250559999999</v>
      </c>
      <c r="K40" s="208"/>
    </row>
    <row r="41" spans="1:15" x14ac:dyDescent="0.3">
      <c r="A41" s="208"/>
      <c r="B41" s="219" t="s">
        <v>389</v>
      </c>
      <c r="C41" s="224">
        <v>885</v>
      </c>
      <c r="D41" s="224">
        <f>+C41</f>
        <v>885</v>
      </c>
      <c r="E41" s="224">
        <f>+D41</f>
        <v>885</v>
      </c>
      <c r="F41" s="224">
        <f>+E41</f>
        <v>885</v>
      </c>
      <c r="G41" s="224">
        <f>+F41</f>
        <v>885</v>
      </c>
      <c r="H41" s="224"/>
      <c r="I41" s="226">
        <v>0.34</v>
      </c>
      <c r="J41" s="255">
        <f>+I41*10.7639104</f>
        <v>3.6597295360000004</v>
      </c>
      <c r="K41" s="208"/>
    </row>
    <row r="42" spans="1:15" ht="28" x14ac:dyDescent="0.3">
      <c r="A42" s="208"/>
      <c r="B42" s="256" t="s">
        <v>390</v>
      </c>
      <c r="C42" s="257">
        <f>SUM(C37:C41)</f>
        <v>40494</v>
      </c>
      <c r="D42" s="257">
        <f t="shared" ref="D42:J42" si="4">SUM(D37:D41)</f>
        <v>29799</v>
      </c>
      <c r="E42" s="257">
        <f t="shared" si="4"/>
        <v>25476</v>
      </c>
      <c r="F42" s="257">
        <f t="shared" si="4"/>
        <v>18305</v>
      </c>
      <c r="G42" s="257">
        <f t="shared" si="4"/>
        <v>14437</v>
      </c>
      <c r="H42" s="301"/>
      <c r="I42" s="250">
        <f t="shared" si="4"/>
        <v>21.27</v>
      </c>
      <c r="J42" s="250">
        <f t="shared" si="4"/>
        <v>228.94837420800002</v>
      </c>
      <c r="K42" s="208"/>
      <c r="N42" s="258" t="s">
        <v>391</v>
      </c>
    </row>
    <row r="43" spans="1:15" x14ac:dyDescent="0.3">
      <c r="A43" s="208"/>
      <c r="B43" s="259"/>
      <c r="C43" s="260"/>
      <c r="D43" s="211"/>
      <c r="E43" s="211"/>
      <c r="F43" s="211"/>
      <c r="G43" s="211"/>
      <c r="H43" s="211"/>
      <c r="I43" s="211"/>
      <c r="J43" s="211"/>
      <c r="K43" s="208"/>
      <c r="N43" s="261">
        <f>+I37*0.5</f>
        <v>10.27</v>
      </c>
    </row>
    <row r="44" spans="1:15" x14ac:dyDescent="0.3">
      <c r="A44" s="208"/>
      <c r="B44" s="262" t="s">
        <v>28</v>
      </c>
      <c r="C44" s="263"/>
      <c r="D44" s="264"/>
      <c r="E44" s="264"/>
      <c r="F44" s="264"/>
      <c r="G44" s="264"/>
      <c r="H44" s="264"/>
      <c r="I44" s="264"/>
      <c r="J44" s="264"/>
      <c r="K44" s="208"/>
      <c r="N44" s="261">
        <f>+I37*0.75</f>
        <v>15.404999999999999</v>
      </c>
    </row>
    <row r="45" spans="1:15" x14ac:dyDescent="0.3">
      <c r="A45" s="208"/>
      <c r="B45" s="219" t="s">
        <v>392</v>
      </c>
      <c r="C45" s="265">
        <v>3211</v>
      </c>
      <c r="D45" s="246">
        <v>2320</v>
      </c>
      <c r="E45" s="246">
        <v>1961</v>
      </c>
      <c r="F45" s="246">
        <v>1364</v>
      </c>
      <c r="G45" s="246">
        <v>1042</v>
      </c>
      <c r="H45" s="246"/>
      <c r="I45" s="266">
        <v>0</v>
      </c>
      <c r="J45" s="266">
        <v>0</v>
      </c>
      <c r="K45" s="208"/>
      <c r="N45" s="267"/>
    </row>
    <row r="46" spans="1:15" x14ac:dyDescent="0.3">
      <c r="A46" s="208"/>
      <c r="B46" s="227" t="s">
        <v>393</v>
      </c>
      <c r="C46" s="268">
        <v>1588</v>
      </c>
      <c r="D46" s="269">
        <v>1147</v>
      </c>
      <c r="E46" s="269">
        <v>970</v>
      </c>
      <c r="F46" s="269">
        <v>674</v>
      </c>
      <c r="G46" s="269">
        <v>515</v>
      </c>
      <c r="H46" s="302"/>
      <c r="I46" s="250">
        <v>1.0900000000000001</v>
      </c>
      <c r="J46" s="250">
        <v>11.73</v>
      </c>
      <c r="K46" s="208"/>
    </row>
    <row r="47" spans="1:15" x14ac:dyDescent="0.3">
      <c r="A47" s="208"/>
      <c r="B47" s="264"/>
      <c r="C47" s="270"/>
      <c r="D47" s="270"/>
      <c r="E47" s="270"/>
      <c r="F47" s="270"/>
      <c r="G47" s="270"/>
      <c r="H47" s="211"/>
      <c r="I47" s="250"/>
      <c r="J47" s="250"/>
      <c r="K47" s="208"/>
    </row>
    <row r="48" spans="1:15" x14ac:dyDescent="0.3">
      <c r="A48" s="208"/>
      <c r="B48" s="271" t="s">
        <v>394</v>
      </c>
      <c r="C48" s="272">
        <f>+C42+C45</f>
        <v>43705</v>
      </c>
      <c r="D48" s="272">
        <f t="shared" ref="D48:J48" si="5">+D42+D45</f>
        <v>32119</v>
      </c>
      <c r="E48" s="272">
        <f t="shared" si="5"/>
        <v>27437</v>
      </c>
      <c r="F48" s="272">
        <f t="shared" si="5"/>
        <v>19669</v>
      </c>
      <c r="G48" s="272">
        <f t="shared" si="5"/>
        <v>15479</v>
      </c>
      <c r="H48" s="303"/>
      <c r="I48" s="250">
        <f t="shared" si="5"/>
        <v>21.27</v>
      </c>
      <c r="J48" s="250">
        <f t="shared" si="5"/>
        <v>228.94837420800002</v>
      </c>
      <c r="K48" s="208"/>
    </row>
    <row r="49" spans="1:11" x14ac:dyDescent="0.3">
      <c r="A49" s="208"/>
      <c r="B49" s="271" t="s">
        <v>395</v>
      </c>
      <c r="C49" s="272">
        <f>+C42+C46</f>
        <v>42082</v>
      </c>
      <c r="D49" s="272">
        <f t="shared" ref="D49:J49" si="6">+D42+D46</f>
        <v>30946</v>
      </c>
      <c r="E49" s="272">
        <f t="shared" si="6"/>
        <v>26446</v>
      </c>
      <c r="F49" s="272">
        <f t="shared" si="6"/>
        <v>18979</v>
      </c>
      <c r="G49" s="272">
        <f t="shared" si="6"/>
        <v>14952</v>
      </c>
      <c r="H49" s="303"/>
      <c r="I49" s="250">
        <f t="shared" si="6"/>
        <v>22.36</v>
      </c>
      <c r="J49" s="250">
        <f t="shared" si="6"/>
        <v>240.67837420800001</v>
      </c>
      <c r="K49" s="208"/>
    </row>
    <row r="50" spans="1:11" x14ac:dyDescent="0.3">
      <c r="A50" s="208"/>
      <c r="B50" s="273"/>
      <c r="C50" s="268"/>
      <c r="D50" s="268"/>
      <c r="E50" s="268"/>
      <c r="F50" s="268"/>
      <c r="G50" s="268"/>
      <c r="H50" s="304"/>
      <c r="I50" s="250"/>
      <c r="J50" s="250"/>
      <c r="K50" s="208"/>
    </row>
    <row r="51" spans="1:11" ht="28" x14ac:dyDescent="0.3">
      <c r="A51" s="208"/>
      <c r="B51" s="274" t="s">
        <v>396</v>
      </c>
      <c r="C51" s="275">
        <f>-ROUND(C14*$C$58,0)</f>
        <v>-5411</v>
      </c>
      <c r="D51" s="275">
        <f>-ROUND(D14*$C$58,0)</f>
        <v>-3911</v>
      </c>
      <c r="E51" s="275">
        <f>-ROUND(E14*$C$58,0)</f>
        <v>-3303</v>
      </c>
      <c r="F51" s="275">
        <f>-ROUND(F14*$C$58,0)</f>
        <v>-2298</v>
      </c>
      <c r="G51" s="275">
        <f>-ROUND(G14*$C$58,0)</f>
        <v>-1756</v>
      </c>
      <c r="H51" s="275"/>
      <c r="I51" s="226">
        <v>0</v>
      </c>
      <c r="J51" s="226">
        <v>0</v>
      </c>
      <c r="K51" s="208"/>
    </row>
    <row r="52" spans="1:11" x14ac:dyDescent="0.3">
      <c r="A52" s="208"/>
      <c r="B52" s="208"/>
      <c r="C52" s="208"/>
      <c r="D52" s="208"/>
      <c r="E52" s="208"/>
      <c r="F52" s="208"/>
      <c r="G52" s="208"/>
      <c r="H52" s="208"/>
      <c r="I52" s="208"/>
      <c r="J52" s="208"/>
      <c r="K52" s="208"/>
    </row>
    <row r="53" spans="1:11" x14ac:dyDescent="0.3">
      <c r="A53" s="208"/>
      <c r="B53" s="208"/>
      <c r="C53" s="208"/>
      <c r="D53" s="208"/>
      <c r="E53" s="208"/>
      <c r="F53" s="208"/>
      <c r="G53" s="208"/>
      <c r="H53" s="208"/>
      <c r="I53" s="208"/>
      <c r="J53" s="208"/>
      <c r="K53" s="208"/>
    </row>
    <row r="56" spans="1:11" x14ac:dyDescent="0.3">
      <c r="B56" s="210" t="s">
        <v>397</v>
      </c>
      <c r="C56" s="210">
        <v>6450</v>
      </c>
      <c r="D56" s="210" t="s">
        <v>398</v>
      </c>
    </row>
    <row r="57" spans="1:11" x14ac:dyDescent="0.3">
      <c r="C57" s="210">
        <v>4940</v>
      </c>
      <c r="D57" s="210" t="s">
        <v>399</v>
      </c>
    </row>
    <row r="58" spans="1:11" ht="14.5" x14ac:dyDescent="0.35">
      <c r="C58">
        <f>+C57/C56</f>
        <v>0.76589147286821702</v>
      </c>
      <c r="D58" s="276" t="s">
        <v>400</v>
      </c>
    </row>
    <row r="60" spans="1:11" x14ac:dyDescent="0.3">
      <c r="A60" s="208"/>
      <c r="B60" s="277" t="s">
        <v>401</v>
      </c>
      <c r="C60" s="208"/>
      <c r="D60" s="208"/>
      <c r="E60" s="208"/>
      <c r="F60" s="208"/>
      <c r="G60" s="208"/>
      <c r="H60" s="208"/>
      <c r="I60" s="208"/>
    </row>
    <row r="61" spans="1:11" ht="42" x14ac:dyDescent="0.3">
      <c r="A61" s="208"/>
      <c r="B61" s="278"/>
      <c r="C61" s="279" t="s">
        <v>99</v>
      </c>
      <c r="D61" s="279" t="s">
        <v>98</v>
      </c>
      <c r="E61" s="279" t="s">
        <v>370</v>
      </c>
      <c r="F61" s="279" t="s">
        <v>371</v>
      </c>
      <c r="G61" s="279" t="s">
        <v>372</v>
      </c>
      <c r="H61" s="305"/>
      <c r="I61" s="208"/>
      <c r="J61" s="208"/>
      <c r="K61" s="208"/>
    </row>
    <row r="62" spans="1:11" x14ac:dyDescent="0.3">
      <c r="A62" s="208"/>
      <c r="B62" s="280"/>
      <c r="C62" s="281" t="s">
        <v>374</v>
      </c>
      <c r="D62" s="281" t="s">
        <v>374</v>
      </c>
      <c r="E62" s="281" t="s">
        <v>374</v>
      </c>
      <c r="F62" s="281" t="s">
        <v>374</v>
      </c>
      <c r="G62" s="281" t="s">
        <v>375</v>
      </c>
      <c r="H62" s="306"/>
      <c r="I62" s="208"/>
      <c r="J62" s="208"/>
      <c r="K62" s="208"/>
    </row>
    <row r="63" spans="1:11" x14ac:dyDescent="0.3">
      <c r="A63" s="208"/>
      <c r="B63" s="282" t="s">
        <v>402</v>
      </c>
      <c r="C63" s="283">
        <f>+C65*0.7</f>
        <v>-3787.7</v>
      </c>
      <c r="D63" s="284">
        <f>+D65*0.7</f>
        <v>-2737.7</v>
      </c>
      <c r="E63" s="284">
        <f>+E65*0.7</f>
        <v>-2312.1</v>
      </c>
      <c r="F63" s="284">
        <f>+F65*0.7</f>
        <v>-1608.6</v>
      </c>
      <c r="G63" s="283">
        <f>+G65*0.7</f>
        <v>-1229.1999999999998</v>
      </c>
      <c r="H63" s="307"/>
      <c r="I63" s="285"/>
      <c r="J63" s="285"/>
      <c r="K63" s="208"/>
    </row>
    <row r="64" spans="1:11" x14ac:dyDescent="0.3">
      <c r="A64" s="208"/>
      <c r="B64" s="282" t="s">
        <v>403</v>
      </c>
      <c r="C64" s="286">
        <f>+C65*0.3+0.5</f>
        <v>-1622.8</v>
      </c>
      <c r="D64" s="275">
        <f>+D65*0.3</f>
        <v>-1173.3</v>
      </c>
      <c r="E64" s="275">
        <f>+E65*0.3</f>
        <v>-990.9</v>
      </c>
      <c r="F64" s="275">
        <f>+F65*0.3</f>
        <v>-689.4</v>
      </c>
      <c r="G64" s="286">
        <f>+G65*0.3</f>
        <v>-526.79999999999995</v>
      </c>
      <c r="H64" s="307"/>
      <c r="I64" s="285"/>
      <c r="J64" s="285"/>
      <c r="K64" s="208"/>
    </row>
    <row r="65" spans="1:11" x14ac:dyDescent="0.3">
      <c r="A65" s="208"/>
      <c r="B65" s="287" t="s">
        <v>404</v>
      </c>
      <c r="C65" s="288">
        <f>+C51</f>
        <v>-5411</v>
      </c>
      <c r="D65" s="288">
        <f>+D51</f>
        <v>-3911</v>
      </c>
      <c r="E65" s="288">
        <f>+E51</f>
        <v>-3303</v>
      </c>
      <c r="F65" s="288">
        <f>+F51</f>
        <v>-2298</v>
      </c>
      <c r="G65" s="289">
        <f>+G51</f>
        <v>-1756</v>
      </c>
      <c r="H65" s="308"/>
      <c r="I65" s="285"/>
      <c r="J65" s="285"/>
      <c r="K65" s="208"/>
    </row>
    <row r="66" spans="1:11" x14ac:dyDescent="0.3">
      <c r="A66" s="208"/>
      <c r="B66" s="208"/>
      <c r="C66" s="208"/>
      <c r="D66" s="208"/>
      <c r="E66" s="208"/>
      <c r="F66" s="208"/>
      <c r="G66" s="208"/>
      <c r="H66" s="208"/>
      <c r="I66" s="280"/>
      <c r="J66" s="280"/>
      <c r="K66" s="208"/>
    </row>
    <row r="67" spans="1:11" x14ac:dyDescent="0.3">
      <c r="A67" s="208"/>
      <c r="B67" s="208"/>
      <c r="C67" s="208"/>
      <c r="D67" s="208"/>
      <c r="E67" s="208"/>
      <c r="F67" s="208"/>
      <c r="G67" s="208"/>
      <c r="H67" s="208"/>
      <c r="I67" s="208"/>
      <c r="J67" s="208"/>
      <c r="K67" s="208"/>
    </row>
    <row r="68" spans="1:11" x14ac:dyDescent="0.3">
      <c r="A68" s="208"/>
      <c r="B68" s="208"/>
      <c r="C68" s="208">
        <f>3728+1597</f>
        <v>5325</v>
      </c>
      <c r="D68" s="208">
        <f>2694+1155</f>
        <v>3849</v>
      </c>
      <c r="E68" s="208">
        <f>2276+975</f>
        <v>3251</v>
      </c>
      <c r="F68" s="208">
        <f>1583+679</f>
        <v>2262</v>
      </c>
      <c r="G68" s="208">
        <f>1210+518</f>
        <v>1728</v>
      </c>
      <c r="H68" s="208"/>
      <c r="I68" s="208"/>
      <c r="J68" s="208"/>
      <c r="K68" s="208"/>
    </row>
    <row r="74" spans="1:11" x14ac:dyDescent="0.3">
      <c r="B74" s="290" t="s">
        <v>405</v>
      </c>
      <c r="C74" s="238">
        <f>+ROUND(1237*$C$3,0)</f>
        <v>1447</v>
      </c>
    </row>
    <row r="75" spans="1:11" x14ac:dyDescent="0.3">
      <c r="B75" s="210" t="s">
        <v>406</v>
      </c>
    </row>
    <row r="83" spans="2:9" x14ac:dyDescent="0.3">
      <c r="B83" s="210">
        <v>2017</v>
      </c>
      <c r="C83" s="291">
        <f t="shared" ref="C83:I83" si="7">+C37</f>
        <v>38318</v>
      </c>
      <c r="D83" s="291">
        <f t="shared" si="7"/>
        <v>27695</v>
      </c>
      <c r="E83" s="291">
        <f t="shared" si="7"/>
        <v>23396</v>
      </c>
      <c r="F83" s="291">
        <f t="shared" si="7"/>
        <v>16277</v>
      </c>
      <c r="G83" s="291">
        <f t="shared" si="7"/>
        <v>12431</v>
      </c>
      <c r="H83" s="291"/>
      <c r="I83" s="291">
        <f t="shared" si="7"/>
        <v>20.54</v>
      </c>
    </row>
    <row r="84" spans="2:9" x14ac:dyDescent="0.3">
      <c r="B84" s="210">
        <v>2016</v>
      </c>
      <c r="C84" s="291">
        <v>36113</v>
      </c>
      <c r="D84" s="291">
        <v>26102</v>
      </c>
      <c r="E84" s="291">
        <v>22052</v>
      </c>
      <c r="F84" s="291">
        <v>15332</v>
      </c>
      <c r="G84" s="291">
        <v>11715</v>
      </c>
      <c r="H84" s="291"/>
      <c r="I84" s="291">
        <v>19.38</v>
      </c>
    </row>
    <row r="85" spans="2:9" x14ac:dyDescent="0.3">
      <c r="C85" s="240">
        <f t="shared" ref="C85:I85" si="8">+C83-C84</f>
        <v>2205</v>
      </c>
      <c r="D85" s="240">
        <f t="shared" si="8"/>
        <v>1593</v>
      </c>
      <c r="E85" s="240">
        <f t="shared" si="8"/>
        <v>1344</v>
      </c>
      <c r="F85" s="240">
        <f t="shared" si="8"/>
        <v>945</v>
      </c>
      <c r="G85" s="240">
        <f t="shared" si="8"/>
        <v>716</v>
      </c>
      <c r="H85" s="240"/>
      <c r="I85" s="240">
        <f t="shared" si="8"/>
        <v>1.1600000000000001</v>
      </c>
    </row>
  </sheetData>
  <mergeCells count="5">
    <mergeCell ref="B5:J5"/>
    <mergeCell ref="C6:G6"/>
    <mergeCell ref="I6:J7"/>
    <mergeCell ref="B7:B8"/>
    <mergeCell ref="M9:N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21</vt:i4>
      </vt:variant>
    </vt:vector>
  </HeadingPairs>
  <TitlesOfParts>
    <vt:vector size="36" baseType="lpstr">
      <vt:lpstr>GIS LAYERS</vt:lpstr>
      <vt:lpstr>brainstorming</vt:lpstr>
      <vt:lpstr>CLASSIFICATIONS</vt:lpstr>
      <vt:lpstr>REVIEW</vt:lpstr>
      <vt:lpstr>2020 Rates</vt:lpstr>
      <vt:lpstr>2018 Rates &amp; Transition</vt:lpstr>
      <vt:lpstr>Jul 6, 19 - Jul 5, 20 Proposed</vt:lpstr>
      <vt:lpstr>TRANSITION RATES</vt:lpstr>
      <vt:lpstr>Jul 6, 18 - Jul 5, 19</vt:lpstr>
      <vt:lpstr>Drop Downs</vt:lpstr>
      <vt:lpstr>Interest Calculation</vt:lpstr>
      <vt:lpstr>chartered_bank_interest</vt:lpstr>
      <vt:lpstr>LG 2014 Draft</vt:lpstr>
      <vt:lpstr>Rates</vt:lpstr>
      <vt:lpstr>Calculation Sheet (OLD)</vt:lpstr>
      <vt:lpstr>'2018 Rates &amp; Transition'!Disc_Exempt</vt:lpstr>
      <vt:lpstr>'TRANSITION RATES'!Disc_Exempt</vt:lpstr>
      <vt:lpstr>Disc_Exempt</vt:lpstr>
      <vt:lpstr>Disc_List</vt:lpstr>
      <vt:lpstr>'2018 Rates &amp; Transition'!Exemption_Rates</vt:lpstr>
      <vt:lpstr>'TRANSITION RATES'!Exemption_Rates</vt:lpstr>
      <vt:lpstr>Exemption_Rates</vt:lpstr>
      <vt:lpstr>Exemption_Type</vt:lpstr>
      <vt:lpstr>'2018 Rates &amp; Transition'!Location</vt:lpstr>
      <vt:lpstr>'Calculation Sheet (OLD)'!Location</vt:lpstr>
      <vt:lpstr>'TRANSITION RATES'!Location</vt:lpstr>
      <vt:lpstr>Location</vt:lpstr>
      <vt:lpstr>Manual_Exemptions</vt:lpstr>
      <vt:lpstr>'Interest Calculation'!Print_Area</vt:lpstr>
      <vt:lpstr>'2018 Rates &amp; Transition'!Stat_Exempt</vt:lpstr>
      <vt:lpstr>'TRANSITION RATES'!Stat_Exempt</vt:lpstr>
      <vt:lpstr>Stat_Exempt</vt:lpstr>
      <vt:lpstr>'2018 Rates &amp; Transition'!Type</vt:lpstr>
      <vt:lpstr>'Calculation Sheet (OLD)'!Type</vt:lpstr>
      <vt:lpstr>'TRANSITION RATES'!Type</vt:lpstr>
      <vt:lpstr>Type</vt:lpstr>
    </vt:vector>
  </TitlesOfParts>
  <Company>City of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Alicia</dc:creator>
  <cp:lastModifiedBy>Brooke, Ailish</cp:lastModifiedBy>
  <cp:lastPrinted>2022-02-07T21:32:46Z</cp:lastPrinted>
  <dcterms:created xsi:type="dcterms:W3CDTF">2015-01-07T19:47:23Z</dcterms:created>
  <dcterms:modified xsi:type="dcterms:W3CDTF">2023-01-09T12:21:41Z</dcterms:modified>
</cp:coreProperties>
</file>